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msj-fs2\share\グループ\MSJホームページ管理\202505\"/>
    </mc:Choice>
  </mc:AlternateContent>
  <xr:revisionPtr revIDLastSave="0" documentId="13_ncr:1_{C59D5F5F-4767-422F-A6F4-41A368F9C8FC}" xr6:coauthVersionLast="47" xr6:coauthVersionMax="47" xr10:uidLastSave="{00000000-0000-0000-0000-000000000000}"/>
  <bookViews>
    <workbookView xWindow="-120" yWindow="-120" windowWidth="29040" windowHeight="15720" tabRatio="812" xr2:uid="{00000000-000D-0000-FFFF-FFFF00000000}"/>
  </bookViews>
  <sheets>
    <sheet name="入力シート" sheetId="1" r:id="rId1"/>
    <sheet name="計算シート" sheetId="11" state="hidden" r:id="rId2"/>
    <sheet name="ポイントメニュー" sheetId="25" state="hidden" r:id="rId3"/>
    <sheet name="印刷ページ" sheetId="7" r:id="rId4"/>
    <sheet name="資金計画" sheetId="15" r:id="rId5"/>
    <sheet name="ver1.0 (2)" sheetId="20" state="veryHidden" r:id="rId6"/>
    <sheet name="つなぎ利息計算" sheetId="23" state="veryHidden" r:id="rId7"/>
    <sheet name="フラット３５元利均等償還表" sheetId="12" r:id="rId8"/>
    <sheet name="フラット３５元金均等償還表" sheetId="13" r:id="rId9"/>
    <sheet name="ベストミックス償還表" sheetId="17" r:id="rId10"/>
    <sheet name="アプラス償還表" sheetId="16" r:id="rId11"/>
    <sheet name="アプラスワイド償還表" sheetId="18" r:id="rId12"/>
    <sheet name="更新履歴" sheetId="9" state="veryHidden" r:id="rId13"/>
  </sheets>
  <externalReferences>
    <externalReference r:id="rId14"/>
  </externalReferences>
  <definedNames>
    <definedName name="_xlnm.Print_Area" localSheetId="11">アプラスワイド償還表!$A$5:$I$53</definedName>
    <definedName name="_xlnm.Print_Area" localSheetId="10">アプラス償還表!$A$5:$I$53</definedName>
    <definedName name="_xlnm.Print_Area" localSheetId="8">フラット３５元金均等償還表!$A$5:$I$53</definedName>
    <definedName name="_xlnm.Print_Area" localSheetId="7">フラット３５元利均等償還表!$A$5:$I$53</definedName>
    <definedName name="_xlnm.Print_Area" localSheetId="9">ベストミックス償還表!$A$5:$I$53</definedName>
    <definedName name="_xlnm.Print_Area" localSheetId="3">印刷ページ!$A$1:$M$55</definedName>
    <definedName name="_xlnm.Print_Area" localSheetId="4">資金計画!$A$1:$N$32</definedName>
    <definedName name="_xlnm.Print_Area" localSheetId="0">入力シート!$A$1:$O$173</definedName>
    <definedName name="オリジナル" localSheetId="11">#REF!</definedName>
    <definedName name="オリジナル" localSheetId="10">#REF!</definedName>
    <definedName name="オリジナル" localSheetId="9">#REF!</definedName>
    <definedName name="オリジナル">#REF!</definedName>
    <definedName name="スルガ" localSheetId="11">#REF!</definedName>
    <definedName name="スルガ" localSheetId="10">#REF!</definedName>
    <definedName name="スルガ" localSheetId="9">#REF!</definedName>
    <definedName name="スルガ">#REF!</definedName>
    <definedName name="つなぎ商品" localSheetId="11">#REF!</definedName>
    <definedName name="つなぎ商品" localSheetId="10">#REF!</definedName>
    <definedName name="つなぎ商品" localSheetId="9">#REF!</definedName>
    <definedName name="つなぎ商品">#REF!</definedName>
    <definedName name="フラット種類" localSheetId="11">#REF!</definedName>
    <definedName name="フラット種類" localSheetId="10">#REF!</definedName>
    <definedName name="フラット種類" localSheetId="9">#REF!</definedName>
    <definedName name="フラット種類">#REF!</definedName>
    <definedName name="プラン" localSheetId="11">#REF!</definedName>
    <definedName name="プラン" localSheetId="10">#REF!</definedName>
    <definedName name="プラン" localSheetId="9">#REF!</definedName>
    <definedName name="プラン">#REF!</definedName>
    <definedName name="期間" localSheetId="11">#REF!</definedName>
    <definedName name="期間" localSheetId="10">#REF!</definedName>
    <definedName name="期間" localSheetId="9">#REF!</definedName>
    <definedName name="期間">#REF!</definedName>
    <definedName name="区分リスト">[1]リスト!$B$2:$B$6</definedName>
    <definedName name="使途リスト">#REF!</definedName>
    <definedName name="返済方法" localSheetId="11">#REF!</definedName>
    <definedName name="返済方法" localSheetId="10">#REF!</definedName>
    <definedName name="返済方法" localSheetId="9">#REF!</definedName>
    <definedName name="返済方法">#REF!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2" i="11" l="1"/>
  <c r="H201" i="11"/>
  <c r="C197" i="11" s="1"/>
  <c r="C153" i="11" l="1"/>
  <c r="H7" i="11"/>
  <c r="A2" i="7"/>
  <c r="N19" i="1" l="1"/>
  <c r="E6" i="25"/>
  <c r="E5" i="25"/>
  <c r="O17" i="1"/>
  <c r="D21" i="1"/>
  <c r="D13" i="11"/>
  <c r="D17" i="11" s="1"/>
  <c r="F21" i="1" s="1"/>
  <c r="D11" i="11"/>
  <c r="D15" i="11" s="1"/>
  <c r="F19" i="1" s="1"/>
  <c r="N20" i="1"/>
  <c r="N18" i="1"/>
  <c r="O20" i="1" l="1"/>
  <c r="O19" i="1"/>
  <c r="E2" i="25" s="1"/>
  <c r="E8" i="25" s="1"/>
  <c r="O23" i="1" l="1"/>
  <c r="D13" i="25"/>
  <c r="F16" i="25" l="1"/>
  <c r="D14" i="25"/>
  <c r="E21" i="25" s="1"/>
  <c r="M8" i="11" l="1"/>
  <c r="F18" i="25"/>
  <c r="E22" i="25" s="1"/>
  <c r="F2" i="7"/>
  <c r="D2" i="16"/>
  <c r="G22" i="25" l="1"/>
  <c r="M11" i="11"/>
  <c r="G21" i="25"/>
  <c r="M9" i="11" s="1"/>
  <c r="F33" i="1" s="1"/>
  <c r="C85" i="11"/>
  <c r="C12" i="7" l="1"/>
  <c r="I24" i="1"/>
  <c r="M12" i="11"/>
  <c r="C118" i="11" l="1"/>
  <c r="C120" i="11"/>
  <c r="G112" i="11" l="1"/>
  <c r="A26" i="7"/>
  <c r="F34" i="1"/>
  <c r="O9" i="15"/>
  <c r="L118" i="1" l="1"/>
  <c r="A1" i="7"/>
  <c r="C5" i="15"/>
  <c r="H21" i="11"/>
  <c r="C18" i="11"/>
  <c r="J21" i="1" l="1"/>
  <c r="C23" i="11"/>
  <c r="I17" i="1"/>
  <c r="B29" i="1"/>
  <c r="B30" i="1"/>
  <c r="F117" i="1"/>
  <c r="C14" i="12"/>
  <c r="C14" i="13"/>
  <c r="H99" i="11"/>
  <c r="C87" i="11"/>
  <c r="H101" i="11"/>
  <c r="H104" i="11"/>
  <c r="H105" i="11"/>
  <c r="H102" i="11"/>
  <c r="H103" i="11"/>
  <c r="G13" i="13"/>
  <c r="G7" i="13"/>
  <c r="G7" i="12"/>
  <c r="J13" i="7"/>
  <c r="F30" i="1"/>
  <c r="L29" i="1"/>
  <c r="B28" i="1"/>
  <c r="L28" i="1"/>
  <c r="I28" i="1"/>
  <c r="L27" i="1"/>
  <c r="B34" i="1"/>
  <c r="B35" i="1"/>
  <c r="B33" i="1"/>
  <c r="C13" i="11"/>
  <c r="C17" i="11" s="1"/>
  <c r="H43" i="11"/>
  <c r="H106" i="11" l="1"/>
  <c r="F28" i="1"/>
  <c r="I27" i="1"/>
  <c r="P12" i="20" l="1"/>
  <c r="S12" i="20"/>
  <c r="S26" i="20" l="1"/>
  <c r="A51" i="20" l="1"/>
  <c r="S24" i="20"/>
  <c r="S22" i="20"/>
  <c r="S20" i="20"/>
  <c r="S18" i="20"/>
  <c r="S10" i="20"/>
  <c r="S8" i="20"/>
  <c r="S6" i="20"/>
  <c r="F49" i="20"/>
  <c r="R51" i="20"/>
  <c r="R53" i="20"/>
  <c r="H12" i="11" l="1"/>
  <c r="H13" i="11" s="1"/>
  <c r="C156" i="11"/>
  <c r="D33" i="7" l="1"/>
  <c r="I96" i="1"/>
  <c r="I111" i="1"/>
  <c r="I108" i="1"/>
  <c r="I105" i="1"/>
  <c r="I102" i="1"/>
  <c r="I99" i="1"/>
  <c r="B33" i="7" l="1"/>
  <c r="N4" i="23"/>
  <c r="E111" i="1"/>
  <c r="A32" i="7"/>
  <c r="G12" i="23" s="1"/>
  <c r="A31" i="7"/>
  <c r="G10" i="23" s="1"/>
  <c r="N10" i="23" s="1"/>
  <c r="A30" i="7"/>
  <c r="G8" i="23" s="1"/>
  <c r="A29" i="7"/>
  <c r="G6" i="23" s="1"/>
  <c r="A28" i="7"/>
  <c r="G4" i="23" s="1"/>
  <c r="A4" i="23" s="1"/>
  <c r="J111" i="1"/>
  <c r="J102" i="1"/>
  <c r="J105" i="1"/>
  <c r="J108" i="1"/>
  <c r="E108" i="1"/>
  <c r="E105" i="1"/>
  <c r="E102" i="1"/>
  <c r="C137" i="1"/>
  <c r="C136" i="1"/>
  <c r="B31" i="7" s="1"/>
  <c r="C135" i="1"/>
  <c r="C134" i="1"/>
  <c r="C133" i="1"/>
  <c r="E99" i="1"/>
  <c r="N6" i="23" l="1"/>
  <c r="A6" i="23"/>
  <c r="A12" i="23"/>
  <c r="N12" i="23"/>
  <c r="A8" i="23"/>
  <c r="N8" i="23"/>
  <c r="A10" i="23"/>
  <c r="Q18" i="15"/>
  <c r="S18" i="15" s="1"/>
  <c r="Q19" i="15"/>
  <c r="Q20" i="15"/>
  <c r="Q21" i="15"/>
  <c r="Q22" i="15"/>
  <c r="Q23" i="15"/>
  <c r="Q24" i="15"/>
  <c r="Q25" i="15"/>
  <c r="C171" i="11" l="1"/>
  <c r="F119" i="1" l="1"/>
  <c r="D14" i="7" s="1"/>
  <c r="C82" i="11"/>
  <c r="J118" i="1" s="1"/>
  <c r="F7" i="12" l="1"/>
  <c r="F7" i="13"/>
  <c r="F126" i="1"/>
  <c r="D21" i="7" s="1"/>
  <c r="C1" i="15"/>
  <c r="H179" i="11" l="1"/>
  <c r="H178" i="11"/>
  <c r="H177" i="11"/>
  <c r="H169" i="11" l="1"/>
  <c r="D3" i="18" l="1"/>
  <c r="D2" i="18"/>
  <c r="D3" i="16"/>
  <c r="D3" i="17"/>
  <c r="D2" i="17"/>
  <c r="D3" i="13"/>
  <c r="D2" i="13"/>
  <c r="I7" i="13" l="1"/>
  <c r="D2" i="12" l="1"/>
  <c r="I7" i="12" s="1"/>
  <c r="D3" i="12"/>
  <c r="E5" i="13"/>
  <c r="A5" i="13"/>
  <c r="E5" i="18" l="1"/>
  <c r="A5" i="18"/>
  <c r="C13" i="17"/>
  <c r="E5" i="17" l="1"/>
  <c r="A5" i="17"/>
  <c r="E5" i="16" l="1"/>
  <c r="A5" i="16"/>
  <c r="I41" i="7" l="1"/>
  <c r="C71" i="1" l="1"/>
  <c r="C70" i="1"/>
  <c r="M163" i="11"/>
  <c r="M155" i="11"/>
  <c r="H161" i="11"/>
  <c r="C177" i="11"/>
  <c r="C170" i="11"/>
  <c r="C167" i="11"/>
  <c r="J99" i="1" s="1"/>
  <c r="C33" i="15"/>
  <c r="M107" i="1"/>
  <c r="M104" i="1"/>
  <c r="L104" i="1"/>
  <c r="L101" i="1"/>
  <c r="N109" i="1"/>
  <c r="N106" i="1"/>
  <c r="N103" i="1"/>
  <c r="J100" i="1"/>
  <c r="J104" i="1"/>
  <c r="N100" i="1"/>
  <c r="S9" i="15" l="1"/>
  <c r="K1" i="15" l="1"/>
  <c r="M145" i="1" l="1"/>
  <c r="N97" i="1" l="1"/>
  <c r="C169" i="11"/>
  <c r="C168" i="11"/>
  <c r="J97" i="1"/>
  <c r="M198" i="11"/>
  <c r="F87" i="1"/>
  <c r="F83" i="1"/>
  <c r="K15" i="15"/>
  <c r="L16" i="15"/>
  <c r="K17" i="15"/>
  <c r="K16" i="15"/>
  <c r="I16" i="15"/>
  <c r="G128" i="1" l="1"/>
  <c r="F23" i="7" s="1"/>
  <c r="E13" i="18"/>
  <c r="G47" i="1"/>
  <c r="C7" i="7" s="1"/>
  <c r="G46" i="1"/>
  <c r="G45" i="1"/>
  <c r="C176" i="11" s="1"/>
  <c r="C179" i="11" s="1"/>
  <c r="C166" i="11" l="1"/>
  <c r="L100" i="1"/>
  <c r="L109" i="1"/>
  <c r="L103" i="1"/>
  <c r="L106" i="1"/>
  <c r="M142" i="11"/>
  <c r="M143" i="11" s="1"/>
  <c r="C69" i="1"/>
  <c r="C79" i="11"/>
  <c r="C81" i="11" l="1"/>
  <c r="L97" i="1"/>
  <c r="C172" i="11"/>
  <c r="L50" i="1" l="1"/>
  <c r="C86" i="11"/>
  <c r="C119" i="1"/>
  <c r="B14" i="7" s="1"/>
  <c r="C126" i="1"/>
  <c r="H196" i="11"/>
  <c r="H197" i="11" l="1"/>
  <c r="M199" i="11" s="1"/>
  <c r="G8" i="15"/>
  <c r="J128" i="1" l="1"/>
  <c r="H23" i="7" s="1"/>
  <c r="N128" i="1"/>
  <c r="L23" i="7" s="1"/>
  <c r="L128" i="1"/>
  <c r="J23" i="7" s="1"/>
  <c r="F13" i="18"/>
  <c r="I87" i="1"/>
  <c r="S21" i="15"/>
  <c r="Q17" i="15"/>
  <c r="Q4" i="15" l="1"/>
  <c r="H186" i="11"/>
  <c r="U18" i="15"/>
  <c r="Q11" i="15" l="1"/>
  <c r="H187" i="11"/>
  <c r="S27" i="15"/>
  <c r="S26" i="15" l="1"/>
  <c r="S25" i="15"/>
  <c r="S24" i="15"/>
  <c r="V19" i="15"/>
  <c r="T19" i="15"/>
  <c r="S19" i="15"/>
  <c r="S17" i="15"/>
  <c r="S16" i="15"/>
  <c r="I21" i="15"/>
  <c r="S15" i="15"/>
  <c r="V14" i="15"/>
  <c r="T14" i="15"/>
  <c r="Q14" i="15"/>
  <c r="S14" i="15" s="1"/>
  <c r="V13" i="15"/>
  <c r="Q12" i="15"/>
  <c r="S12" i="15" s="1"/>
  <c r="T8" i="15"/>
  <c r="Q8" i="15"/>
  <c r="S8" i="15" s="1"/>
  <c r="S7" i="15"/>
  <c r="T3" i="15"/>
  <c r="T4" i="15" s="1"/>
  <c r="Q13" i="15" l="1"/>
  <c r="S13" i="15" s="1"/>
  <c r="T23" i="15"/>
  <c r="T22" i="15"/>
  <c r="U17" i="15"/>
  <c r="W17" i="15" s="1"/>
  <c r="X17" i="15" s="1"/>
  <c r="T20" i="15"/>
  <c r="S20" i="15"/>
  <c r="U16" i="15"/>
  <c r="W16" i="15" s="1"/>
  <c r="X16" i="15" s="1"/>
  <c r="W26" i="15"/>
  <c r="X26" i="15" s="1"/>
  <c r="E4" i="15"/>
  <c r="Q9" i="15"/>
  <c r="W25" i="15"/>
  <c r="X25" i="15" s="1"/>
  <c r="U19" i="15"/>
  <c r="W19" i="15" s="1"/>
  <c r="X19" i="15" s="1"/>
  <c r="W27" i="15"/>
  <c r="X27" i="15" s="1"/>
  <c r="U12" i="15"/>
  <c r="U8" i="15"/>
  <c r="W8" i="15" s="1"/>
  <c r="U14" i="15"/>
  <c r="V9" i="15"/>
  <c r="U21" i="15"/>
  <c r="W21" i="15" s="1"/>
  <c r="T9" i="15"/>
  <c r="U15" i="15"/>
  <c r="U7" i="15"/>
  <c r="U24" i="15"/>
  <c r="H157" i="11"/>
  <c r="H165" i="11"/>
  <c r="U20" i="15" l="1"/>
  <c r="X21" i="15"/>
  <c r="W14" i="15"/>
  <c r="X14" i="15" s="1"/>
  <c r="X8" i="15"/>
  <c r="W7" i="15"/>
  <c r="X7" i="15" s="1"/>
  <c r="W12" i="15"/>
  <c r="X12" i="15" s="1"/>
  <c r="W15" i="15"/>
  <c r="X15" i="15" s="1"/>
  <c r="W24" i="15"/>
  <c r="X24" i="15" s="1"/>
  <c r="U9" i="15"/>
  <c r="T13" i="15" s="1"/>
  <c r="U13" i="15" s="1"/>
  <c r="M167" i="11"/>
  <c r="H137" i="1"/>
  <c r="H136" i="1"/>
  <c r="F136" i="1"/>
  <c r="E31" i="7" s="1"/>
  <c r="T10" i="23" s="1"/>
  <c r="D25" i="23" s="1"/>
  <c r="J25" i="23" s="1"/>
  <c r="F137" i="1"/>
  <c r="M159" i="11"/>
  <c r="M157" i="11"/>
  <c r="M158" i="11" s="1"/>
  <c r="M165" i="11"/>
  <c r="L110" i="1"/>
  <c r="J109" i="1"/>
  <c r="J110" i="1"/>
  <c r="I110" i="1"/>
  <c r="E110" i="1"/>
  <c r="L107" i="1"/>
  <c r="J107" i="1"/>
  <c r="I107" i="1"/>
  <c r="E107" i="1"/>
  <c r="J106" i="1"/>
  <c r="M166" i="11" l="1"/>
  <c r="I137" i="1" s="1"/>
  <c r="W9" i="15"/>
  <c r="X9" i="15" s="1"/>
  <c r="W13" i="15"/>
  <c r="X13" i="15" s="1"/>
  <c r="I136" i="1"/>
  <c r="G31" i="7" s="1"/>
  <c r="C11" i="11"/>
  <c r="C15" i="11" l="1"/>
  <c r="D19" i="1" s="1"/>
  <c r="W20" i="15"/>
  <c r="D33" i="1" l="1"/>
  <c r="M33" i="1"/>
  <c r="X20" i="15"/>
  <c r="H147" i="11"/>
  <c r="M145" i="11" s="1"/>
  <c r="M77" i="11" l="1"/>
  <c r="H45" i="11" l="1"/>
  <c r="I42" i="7" l="1"/>
  <c r="C12" i="11" l="1"/>
  <c r="C16" i="11" s="1"/>
  <c r="D20" i="1" s="1"/>
  <c r="H22" i="11" s="1"/>
  <c r="H23" i="11" l="1"/>
  <c r="D34" i="1"/>
  <c r="D35" i="1" s="1"/>
  <c r="M34" i="1"/>
  <c r="C84" i="11"/>
  <c r="C89" i="11" s="1"/>
  <c r="C122" i="11" s="1"/>
  <c r="M35" i="1"/>
  <c r="C144" i="11"/>
  <c r="E13" i="16" s="1"/>
  <c r="C88" i="11" l="1"/>
  <c r="C119" i="11"/>
  <c r="G127" i="1"/>
  <c r="C124" i="11" l="1"/>
  <c r="H85" i="11"/>
  <c r="H83" i="11"/>
  <c r="I43" i="7"/>
  <c r="F9" i="13" l="1"/>
  <c r="F9" i="12"/>
  <c r="G9" i="12"/>
  <c r="G9" i="13"/>
  <c r="H119" i="11"/>
  <c r="H112" i="11"/>
  <c r="E5" i="12"/>
  <c r="A5" i="12"/>
  <c r="I27" i="7" l="1"/>
  <c r="H173" i="11"/>
  <c r="C158" i="11" s="1"/>
  <c r="G27" i="7"/>
  <c r="A27" i="7"/>
  <c r="K137" i="1" l="1"/>
  <c r="K136" i="1"/>
  <c r="I31" i="7" s="1"/>
  <c r="B154" i="1"/>
  <c r="F36" i="1"/>
  <c r="H163" i="11" l="1"/>
  <c r="H164" i="11" s="1"/>
  <c r="C96" i="11" l="1"/>
  <c r="C95" i="11"/>
  <c r="I134" i="1" l="1"/>
  <c r="G29" i="7" s="1"/>
  <c r="E32" i="7"/>
  <c r="T12" i="23" s="1"/>
  <c r="D27" i="23" s="1"/>
  <c r="B32" i="7"/>
  <c r="H135" i="1"/>
  <c r="F135" i="1"/>
  <c r="E30" i="7" s="1"/>
  <c r="T8" i="23" s="1"/>
  <c r="D23" i="23" s="1"/>
  <c r="J23" i="23" s="1"/>
  <c r="B30" i="7"/>
  <c r="H134" i="1"/>
  <c r="F134" i="1"/>
  <c r="E29" i="7" s="1"/>
  <c r="T6" i="23" s="1"/>
  <c r="D21" i="23" s="1"/>
  <c r="B29" i="7"/>
  <c r="H133" i="1"/>
  <c r="F133" i="1"/>
  <c r="E28" i="7" s="1"/>
  <c r="A27" i="23" l="1"/>
  <c r="J27" i="23"/>
  <c r="A21" i="23"/>
  <c r="J21" i="23"/>
  <c r="T4" i="23"/>
  <c r="D19" i="23" s="1"/>
  <c r="E33" i="7"/>
  <c r="B28" i="7"/>
  <c r="B162" i="1"/>
  <c r="C161" i="11"/>
  <c r="A96" i="1" s="1"/>
  <c r="H171" i="11"/>
  <c r="H172" i="11" s="1"/>
  <c r="J19" i="23" l="1"/>
  <c r="J29" i="23" s="1"/>
  <c r="A19" i="23"/>
  <c r="A25" i="23"/>
  <c r="A23" i="23"/>
  <c r="D29" i="23"/>
  <c r="I135" i="1"/>
  <c r="F162" i="1"/>
  <c r="C159" i="11"/>
  <c r="G32" i="7"/>
  <c r="I32" i="7" l="1"/>
  <c r="K134" i="1"/>
  <c r="I29" i="7" s="1"/>
  <c r="K133" i="1"/>
  <c r="K135" i="1"/>
  <c r="I30" i="7" s="1"/>
  <c r="G30" i="7"/>
  <c r="B21" i="7"/>
  <c r="C114" i="11"/>
  <c r="E12" i="13" s="1"/>
  <c r="M116" i="11" l="1"/>
  <c r="G12" i="13" s="1"/>
  <c r="M123" i="11"/>
  <c r="C130" i="11"/>
  <c r="M113" i="11"/>
  <c r="M120" i="11" s="1"/>
  <c r="M122" i="11" s="1"/>
  <c r="C131" i="11"/>
  <c r="I28" i="7"/>
  <c r="E12" i="12"/>
  <c r="F22" i="7"/>
  <c r="G126" i="1"/>
  <c r="M124" i="11" l="1"/>
  <c r="F12" i="12"/>
  <c r="N126" i="1"/>
  <c r="M115" i="11"/>
  <c r="G12" i="12" s="1"/>
  <c r="G130" i="1"/>
  <c r="F21" i="7"/>
  <c r="F25" i="7" s="1"/>
  <c r="I98" i="1"/>
  <c r="E98" i="1"/>
  <c r="I104" i="1"/>
  <c r="E104" i="1"/>
  <c r="I101" i="1"/>
  <c r="E101" i="1"/>
  <c r="H155" i="11"/>
  <c r="H156" i="11" s="1"/>
  <c r="J103" i="1"/>
  <c r="J101" i="1"/>
  <c r="N98" i="1"/>
  <c r="J98" i="1"/>
  <c r="H146" i="11"/>
  <c r="L21" i="7" l="1"/>
  <c r="H158" i="11"/>
  <c r="M168" i="11"/>
  <c r="C162" i="11"/>
  <c r="B143" i="1" s="1"/>
  <c r="G143" i="1" s="1"/>
  <c r="E39" i="7" s="1"/>
  <c r="M147" i="11"/>
  <c r="H162" i="1"/>
  <c r="L162" i="1" s="1"/>
  <c r="C163" i="11"/>
  <c r="G144" i="1" l="1"/>
  <c r="E22" i="15" s="1"/>
  <c r="E144" i="1"/>
  <c r="E23" i="15" s="1"/>
  <c r="E143" i="1"/>
  <c r="C39" i="7" s="1"/>
  <c r="M137" i="1"/>
  <c r="M160" i="11"/>
  <c r="M136" i="1" s="1"/>
  <c r="K31" i="7" s="1"/>
  <c r="H174" i="11"/>
  <c r="M135" i="1" s="1"/>
  <c r="K30" i="7" s="1"/>
  <c r="I133" i="1"/>
  <c r="S16" i="20" l="1"/>
  <c r="C40" i="7"/>
  <c r="M143" i="1"/>
  <c r="E40" i="7"/>
  <c r="G28" i="7"/>
  <c r="M133" i="1"/>
  <c r="K28" i="7" s="1"/>
  <c r="D9" i="12"/>
  <c r="A19" i="12" s="1"/>
  <c r="B19" i="12" s="1"/>
  <c r="D9" i="13"/>
  <c r="A19" i="13" s="1"/>
  <c r="N154" i="1"/>
  <c r="H42" i="11"/>
  <c r="C201" i="11" s="1"/>
  <c r="C202" i="11" s="1"/>
  <c r="C48" i="11"/>
  <c r="C49" i="11" s="1"/>
  <c r="C42" i="11"/>
  <c r="C43" i="11" l="1"/>
  <c r="C46" i="11" s="1"/>
  <c r="C53" i="11" s="1"/>
  <c r="H51" i="11"/>
  <c r="H52" i="11" s="1"/>
  <c r="H53" i="11"/>
  <c r="C50" i="11"/>
  <c r="S22" i="15"/>
  <c r="U22" i="15" s="1"/>
  <c r="X22" i="15" s="1"/>
  <c r="E30" i="15"/>
  <c r="S14" i="20"/>
  <c r="S34" i="20" s="1"/>
  <c r="K40" i="7"/>
  <c r="E32" i="15"/>
  <c r="I2" i="15" s="1"/>
  <c r="S23" i="15"/>
  <c r="U23" i="15" s="1"/>
  <c r="X23" i="15" s="1"/>
  <c r="A20" i="13"/>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B19" i="13"/>
  <c r="A20" i="12"/>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H142" i="11"/>
  <c r="H144" i="11" s="1"/>
  <c r="C44" i="11"/>
  <c r="I14" i="1"/>
  <c r="J11" i="1" l="1"/>
  <c r="C61" i="11"/>
  <c r="L41" i="1" s="1"/>
  <c r="C123" i="11"/>
  <c r="C121" i="11"/>
  <c r="H54" i="11"/>
  <c r="S46" i="20"/>
  <c r="R55" i="20"/>
  <c r="C47" i="11"/>
  <c r="C54" i="11" s="1"/>
  <c r="E21" i="7"/>
  <c r="H44" i="11"/>
  <c r="H46" i="11" s="1"/>
  <c r="C63" i="11" l="1"/>
  <c r="M71" i="11"/>
  <c r="M72" i="11" s="1"/>
  <c r="C68" i="11" s="1"/>
  <c r="R67" i="11"/>
  <c r="H71" i="11"/>
  <c r="H72" i="11" s="1"/>
  <c r="L40" i="1"/>
  <c r="M69" i="11"/>
  <c r="M70" i="11" s="1"/>
  <c r="H69" i="11"/>
  <c r="H70" i="11" s="1"/>
  <c r="H67" i="11"/>
  <c r="H68" i="11" s="1"/>
  <c r="H65" i="11"/>
  <c r="H66" i="11" s="1"/>
  <c r="H84" i="11"/>
  <c r="Q120" i="11"/>
  <c r="F19" i="13"/>
  <c r="G19" i="12"/>
  <c r="F19" i="12"/>
  <c r="G119" i="11"/>
  <c r="L51" i="1"/>
  <c r="M67" i="11"/>
  <c r="E40" i="1"/>
  <c r="C115" i="11"/>
  <c r="I81" i="1" s="1"/>
  <c r="E81" i="1"/>
  <c r="E14" i="7"/>
  <c r="H86" i="11"/>
  <c r="H13" i="7"/>
  <c r="H87" i="11" l="1"/>
  <c r="C67" i="11"/>
  <c r="M41" i="1" s="1"/>
  <c r="M40" i="1"/>
  <c r="N118" i="1"/>
  <c r="F40" i="1"/>
  <c r="M136" i="11"/>
  <c r="M135" i="11"/>
  <c r="F12" i="13"/>
  <c r="H7" i="12" l="1"/>
  <c r="H13" i="13"/>
  <c r="H7" i="13"/>
  <c r="H9" i="12"/>
  <c r="H9" i="13"/>
  <c r="H12" i="12"/>
  <c r="H12" i="13"/>
  <c r="L13" i="7"/>
  <c r="C132" i="11"/>
  <c r="J126" i="1" s="1"/>
  <c r="M117" i="11"/>
  <c r="C5" i="7" l="1"/>
  <c r="L5" i="7"/>
  <c r="O13" i="1"/>
  <c r="O12" i="1"/>
  <c r="C6" i="7"/>
  <c r="H1" i="7"/>
  <c r="K27" i="7" l="1"/>
  <c r="H21" i="7" l="1"/>
  <c r="H166" i="11" l="1"/>
  <c r="M134" i="1" s="1"/>
  <c r="K29" i="7" s="1"/>
  <c r="K32" i="7"/>
  <c r="S10" i="15" l="1"/>
  <c r="U10" i="15" l="1"/>
  <c r="W10" i="15" l="1"/>
  <c r="W28" i="15" s="1"/>
  <c r="I5" i="15" s="1"/>
  <c r="I29" i="15" s="1"/>
  <c r="X10" i="15" l="1"/>
  <c r="G48" i="1" l="1"/>
  <c r="C8" i="7" s="1"/>
  <c r="C11" i="7" s="1"/>
  <c r="G49" i="1" l="1"/>
  <c r="H19" i="12" l="1"/>
  <c r="G19" i="13"/>
  <c r="H19" i="13" s="1"/>
  <c r="B20" i="13" l="1"/>
  <c r="F20" i="13" s="1"/>
  <c r="B20" i="12"/>
  <c r="G20" i="12" s="1"/>
  <c r="F20" i="12" l="1"/>
  <c r="H20" i="12"/>
  <c r="G20" i="13"/>
  <c r="H20" i="13" s="1"/>
  <c r="B21" i="12"/>
  <c r="B21" i="13"/>
  <c r="F21" i="13" s="1"/>
  <c r="F21" i="12" l="1"/>
  <c r="G21" i="12"/>
  <c r="H21" i="12" s="1"/>
  <c r="G21" i="13"/>
  <c r="H21" i="13" s="1"/>
  <c r="B22" i="12"/>
  <c r="B22" i="13"/>
  <c r="F22" i="13" s="1"/>
  <c r="G22" i="12" l="1"/>
  <c r="H22" i="12" s="1"/>
  <c r="F22" i="12"/>
  <c r="G22" i="13"/>
  <c r="H22" i="13" s="1"/>
  <c r="B23" i="13"/>
  <c r="F23" i="13" s="1"/>
  <c r="B23" i="12"/>
  <c r="F23" i="12" l="1"/>
  <c r="G23" i="12"/>
  <c r="H23" i="12" s="1"/>
  <c r="G23" i="13"/>
  <c r="H23" i="13" s="1"/>
  <c r="B24" i="13"/>
  <c r="F24" i="13" s="1"/>
  <c r="B24" i="12"/>
  <c r="F24" i="12" l="1"/>
  <c r="G24" i="12"/>
  <c r="H24" i="12" s="1"/>
  <c r="G24" i="13"/>
  <c r="H24" i="13" s="1"/>
  <c r="B25" i="13"/>
  <c r="F25" i="13" s="1"/>
  <c r="B25" i="12"/>
  <c r="G25" i="12" l="1"/>
  <c r="H25" i="12" s="1"/>
  <c r="F25" i="12"/>
  <c r="G25" i="13"/>
  <c r="H25" i="13" s="1"/>
  <c r="B26" i="12"/>
  <c r="B26" i="13"/>
  <c r="F26" i="13" s="1"/>
  <c r="F26" i="12" l="1"/>
  <c r="G26" i="12"/>
  <c r="H26" i="12" s="1"/>
  <c r="G26" i="13"/>
  <c r="H26" i="13" s="1"/>
  <c r="B27" i="12"/>
  <c r="B27" i="13"/>
  <c r="F27" i="13" s="1"/>
  <c r="F27" i="12" l="1"/>
  <c r="G27" i="12"/>
  <c r="H27" i="12" s="1"/>
  <c r="G27" i="13"/>
  <c r="H27" i="13" s="1"/>
  <c r="B28" i="12"/>
  <c r="B28" i="13"/>
  <c r="F28" i="13" s="1"/>
  <c r="G28" i="12" l="1"/>
  <c r="F28" i="12"/>
  <c r="G28" i="13"/>
  <c r="H28" i="13" s="1"/>
  <c r="H28" i="12"/>
  <c r="B29" i="13"/>
  <c r="F29" i="13" s="1"/>
  <c r="B29" i="12"/>
  <c r="F29" i="12" l="1"/>
  <c r="G29" i="12"/>
  <c r="H29" i="12" s="1"/>
  <c r="G29" i="13"/>
  <c r="H29" i="13" s="1"/>
  <c r="B30" i="12"/>
  <c r="B30" i="13"/>
  <c r="F30" i="13" s="1"/>
  <c r="G30" i="12" l="1"/>
  <c r="F30" i="12"/>
  <c r="G30" i="13"/>
  <c r="H30" i="13" s="1"/>
  <c r="H30" i="12"/>
  <c r="B31" i="12"/>
  <c r="B31" i="13"/>
  <c r="F31" i="13" s="1"/>
  <c r="F31" i="12" l="1"/>
  <c r="G31" i="12"/>
  <c r="H31" i="12" s="1"/>
  <c r="G31" i="13"/>
  <c r="H31" i="13" s="1"/>
  <c r="B32" i="13"/>
  <c r="F32" i="13" s="1"/>
  <c r="B32" i="12"/>
  <c r="F32" i="12" l="1"/>
  <c r="G32" i="12"/>
  <c r="H32" i="12" s="1"/>
  <c r="G32" i="13"/>
  <c r="H32" i="13" s="1"/>
  <c r="B33" i="13"/>
  <c r="F33" i="13" s="1"/>
  <c r="B33" i="12"/>
  <c r="F33" i="12" l="1"/>
  <c r="G33" i="12"/>
  <c r="H33" i="12" s="1"/>
  <c r="G33" i="13"/>
  <c r="H33" i="13" s="1"/>
  <c r="B34" i="13"/>
  <c r="F34" i="13" s="1"/>
  <c r="B34" i="12"/>
  <c r="F34" i="12" l="1"/>
  <c r="G34" i="12"/>
  <c r="H34" i="12" s="1"/>
  <c r="G34" i="13"/>
  <c r="H34" i="13" s="1"/>
  <c r="B35" i="12"/>
  <c r="B35" i="13"/>
  <c r="F35" i="13" s="1"/>
  <c r="G35" i="12" l="1"/>
  <c r="F35" i="12"/>
  <c r="G35" i="13"/>
  <c r="H35" i="13" s="1"/>
  <c r="H35" i="12"/>
  <c r="B36" i="13"/>
  <c r="F36" i="13" s="1"/>
  <c r="B36" i="12"/>
  <c r="G36" i="12" l="1"/>
  <c r="H36" i="12" s="1"/>
  <c r="F36" i="12"/>
  <c r="G36" i="13"/>
  <c r="H36" i="13" s="1"/>
  <c r="B37" i="13"/>
  <c r="F37" i="13" s="1"/>
  <c r="B37" i="12"/>
  <c r="F37" i="12" l="1"/>
  <c r="G37" i="12"/>
  <c r="H37" i="12" s="1"/>
  <c r="G37" i="13"/>
  <c r="H37" i="13" s="1"/>
  <c r="B38" i="12"/>
  <c r="B38" i="13"/>
  <c r="F38" i="13" s="1"/>
  <c r="F38" i="12" l="1"/>
  <c r="G38" i="12"/>
  <c r="H38" i="12" s="1"/>
  <c r="G38" i="13"/>
  <c r="H38" i="13" s="1"/>
  <c r="B39" i="13"/>
  <c r="F39" i="13" s="1"/>
  <c r="B39" i="12"/>
  <c r="F39" i="12" l="1"/>
  <c r="G39" i="12"/>
  <c r="H39" i="12" s="1"/>
  <c r="G39" i="13"/>
  <c r="H39" i="13" s="1"/>
  <c r="B40" i="12"/>
  <c r="B40" i="13"/>
  <c r="F40" i="13" s="1"/>
  <c r="F40" i="12" l="1"/>
  <c r="G40" i="12"/>
  <c r="H40" i="12" s="1"/>
  <c r="G40" i="13"/>
  <c r="H40" i="13" s="1"/>
  <c r="B41" i="12"/>
  <c r="B41" i="13"/>
  <c r="F41" i="13" s="1"/>
  <c r="F41" i="12" l="1"/>
  <c r="G41" i="12"/>
  <c r="H41" i="12" s="1"/>
  <c r="G41" i="13"/>
  <c r="H41" i="13" s="1"/>
  <c r="B42" i="13"/>
  <c r="F42" i="13" s="1"/>
  <c r="B42" i="12"/>
  <c r="F42" i="12" l="1"/>
  <c r="G42" i="12"/>
  <c r="H42" i="12" s="1"/>
  <c r="G42" i="13"/>
  <c r="H42" i="13" s="1"/>
  <c r="B43" i="13"/>
  <c r="F43" i="13" s="1"/>
  <c r="B43" i="12"/>
  <c r="F43" i="12" l="1"/>
  <c r="G43" i="12"/>
  <c r="H43" i="12" s="1"/>
  <c r="G43" i="13"/>
  <c r="H43" i="13" s="1"/>
  <c r="B44" i="12"/>
  <c r="B44" i="13"/>
  <c r="F44" i="13" s="1"/>
  <c r="F44" i="12" l="1"/>
  <c r="G44" i="12"/>
  <c r="H44" i="12" s="1"/>
  <c r="G44" i="13"/>
  <c r="H44" i="13" s="1"/>
  <c r="B45" i="13"/>
  <c r="F45" i="13" s="1"/>
  <c r="B45" i="12"/>
  <c r="G45" i="12" l="1"/>
  <c r="F45" i="12"/>
  <c r="H45" i="12"/>
  <c r="G45" i="13"/>
  <c r="H45" i="13" s="1"/>
  <c r="B46" i="13"/>
  <c r="F46" i="13" s="1"/>
  <c r="B46" i="12"/>
  <c r="F46" i="12" l="1"/>
  <c r="G46" i="12"/>
  <c r="H46" i="12" s="1"/>
  <c r="G46" i="13"/>
  <c r="H46" i="13" s="1"/>
  <c r="B47" i="12"/>
  <c r="B47" i="13"/>
  <c r="F47" i="13" s="1"/>
  <c r="G47" i="12" l="1"/>
  <c r="F47" i="12"/>
  <c r="G47" i="13"/>
  <c r="H47" i="13" s="1"/>
  <c r="H47" i="12"/>
  <c r="B48" i="12"/>
  <c r="B48" i="13"/>
  <c r="F48" i="13" s="1"/>
  <c r="G48" i="12" l="1"/>
  <c r="F48" i="12"/>
  <c r="G48" i="13"/>
  <c r="H48" i="13" s="1"/>
  <c r="H48" i="12"/>
  <c r="B49" i="12"/>
  <c r="B49" i="13"/>
  <c r="F49" i="13" s="1"/>
  <c r="F49" i="12" l="1"/>
  <c r="G49" i="12"/>
  <c r="H49" i="12" s="1"/>
  <c r="G49" i="13"/>
  <c r="H49" i="13" s="1"/>
  <c r="B50" i="12"/>
  <c r="B50" i="13"/>
  <c r="F50" i="13" s="1"/>
  <c r="F50" i="12" l="1"/>
  <c r="G50" i="12"/>
  <c r="H50" i="12" s="1"/>
  <c r="G50" i="13"/>
  <c r="H50" i="13" s="1"/>
  <c r="B51" i="12"/>
  <c r="B51" i="13"/>
  <c r="F51" i="13" s="1"/>
  <c r="G51" i="12" l="1"/>
  <c r="H51" i="12" s="1"/>
  <c r="F51" i="12"/>
  <c r="G51" i="13"/>
  <c r="H51" i="13" s="1"/>
  <c r="B52" i="13"/>
  <c r="F52" i="13" s="1"/>
  <c r="B52" i="12"/>
  <c r="F52" i="12" l="1"/>
  <c r="G52" i="12"/>
  <c r="H52" i="12" s="1"/>
  <c r="G52" i="13"/>
  <c r="H52" i="13" s="1"/>
  <c r="B53" i="12"/>
  <c r="B53" i="13"/>
  <c r="F53" i="13" s="1"/>
  <c r="G53" i="12" l="1"/>
  <c r="H53" i="12" s="1"/>
  <c r="F53" i="12"/>
  <c r="G53" i="13"/>
  <c r="H53" i="13" s="1"/>
  <c r="S11" i="15"/>
  <c r="U11" i="15" l="1"/>
  <c r="X11" i="15" s="1"/>
  <c r="X28" i="15" s="1"/>
  <c r="E31" i="15"/>
  <c r="S28" i="15"/>
  <c r="I3" i="15" s="1"/>
  <c r="I15" i="15" s="1"/>
  <c r="I17" i="15" s="1"/>
  <c r="I22" i="15" l="1"/>
  <c r="L52" i="1" s="1"/>
  <c r="U28" i="15"/>
  <c r="I4" i="15" s="1"/>
  <c r="I6" i="15" s="1"/>
  <c r="I24" i="15" l="1"/>
  <c r="I26" i="15"/>
  <c r="I27" i="15" s="1"/>
  <c r="I28" i="15" s="1"/>
  <c r="I20" i="15"/>
  <c r="I32" i="15" l="1"/>
  <c r="P32" i="15" l="1"/>
  <c r="K29" i="15" s="1"/>
  <c r="H2" i="13" s="1"/>
  <c r="H2" i="12" l="1"/>
  <c r="H2" i="17"/>
  <c r="H2" i="18"/>
  <c r="I7" i="18" s="1"/>
  <c r="H2" i="16"/>
  <c r="B158" i="1"/>
  <c r="F9" i="7" s="1"/>
  <c r="G65" i="1"/>
  <c r="P29" i="15"/>
  <c r="P28" i="15" s="1"/>
  <c r="K24" i="15" s="1"/>
  <c r="E63" i="1" l="1"/>
  <c r="M196" i="11"/>
  <c r="E12" i="18" s="1"/>
  <c r="C63" i="1"/>
  <c r="H66" i="1"/>
  <c r="L65" i="1"/>
  <c r="E64" i="1"/>
  <c r="I64" i="1"/>
  <c r="N66" i="1"/>
  <c r="H198" i="11"/>
  <c r="H199" i="11" s="1"/>
  <c r="N158" i="1"/>
  <c r="L9" i="7" s="1"/>
  <c r="E66" i="1"/>
  <c r="L64" i="1"/>
  <c r="I65" i="1"/>
  <c r="E65" i="1"/>
  <c r="K27" i="15"/>
  <c r="C103" i="11" s="1"/>
  <c r="F158" i="1" l="1"/>
  <c r="L158" i="1" s="1"/>
  <c r="M197" i="11"/>
  <c r="I86" i="1" s="1"/>
  <c r="G122" i="1"/>
  <c r="N122" i="1" s="1"/>
  <c r="K26" i="15"/>
  <c r="P27" i="15"/>
  <c r="P21" i="15"/>
  <c r="P22" i="15" s="1"/>
  <c r="M88" i="11"/>
  <c r="K66" i="1"/>
  <c r="F9" i="18"/>
  <c r="D9" i="18"/>
  <c r="A19" i="18" s="1"/>
  <c r="H9" i="7" l="1"/>
  <c r="K9" i="7" s="1"/>
  <c r="F122" i="1"/>
  <c r="D17" i="7" s="1"/>
  <c r="J122" i="1"/>
  <c r="H17" i="7" s="1"/>
  <c r="C122" i="1"/>
  <c r="B17" i="7" s="1"/>
  <c r="E17" i="7" s="1"/>
  <c r="F17" i="7"/>
  <c r="L17" i="7"/>
  <c r="F12" i="18"/>
  <c r="H24" i="15"/>
  <c r="F2" i="18"/>
  <c r="F2" i="12"/>
  <c r="F2" i="13"/>
  <c r="G55" i="1"/>
  <c r="L55" i="1" s="1"/>
  <c r="F2" i="16"/>
  <c r="F11" i="15"/>
  <c r="G11" i="15" s="1"/>
  <c r="F2" i="17"/>
  <c r="I7" i="17" s="1"/>
  <c r="B155" i="1"/>
  <c r="K20" i="15"/>
  <c r="P20" i="15"/>
  <c r="K21" i="15" s="1"/>
  <c r="M28" i="15"/>
  <c r="C102" i="11"/>
  <c r="K28" i="15"/>
  <c r="B156" i="1"/>
  <c r="C128" i="1"/>
  <c r="B23" i="7" s="1"/>
  <c r="E23" i="7" s="1"/>
  <c r="F128" i="1"/>
  <c r="D23" i="7" s="1"/>
  <c r="A20" i="18"/>
  <c r="B19" i="18"/>
  <c r="K142" i="1" l="1"/>
  <c r="B157" i="1"/>
  <c r="G59" i="1"/>
  <c r="F3" i="12"/>
  <c r="I5" i="12" s="1"/>
  <c r="I142" i="1"/>
  <c r="F3" i="18"/>
  <c r="I5" i="18" s="1"/>
  <c r="F3" i="17"/>
  <c r="I5" i="17" s="1"/>
  <c r="F3" i="16"/>
  <c r="F3" i="13"/>
  <c r="I5" i="13" s="1"/>
  <c r="H188" i="11"/>
  <c r="H56" i="1"/>
  <c r="I55" i="1"/>
  <c r="I54" i="1"/>
  <c r="N56" i="1"/>
  <c r="E55" i="1"/>
  <c r="E54" i="1"/>
  <c r="L54" i="1"/>
  <c r="C54" i="1"/>
  <c r="C99" i="11"/>
  <c r="L12" i="20"/>
  <c r="H154" i="1"/>
  <c r="C98" i="11"/>
  <c r="F154" i="1"/>
  <c r="L10" i="20"/>
  <c r="K22" i="15"/>
  <c r="F7" i="7"/>
  <c r="N156" i="1"/>
  <c r="L7" i="7" s="1"/>
  <c r="F156" i="1"/>
  <c r="H7" i="7" s="1"/>
  <c r="K7" i="7" s="1"/>
  <c r="L156" i="1"/>
  <c r="N155" i="1"/>
  <c r="L6" i="7" s="1"/>
  <c r="F6" i="7"/>
  <c r="F155" i="1"/>
  <c r="H6" i="7" s="1"/>
  <c r="K6" i="7" s="1"/>
  <c r="G19" i="18"/>
  <c r="H19" i="18" s="1"/>
  <c r="F19" i="18"/>
  <c r="D19" i="18"/>
  <c r="E19" i="18" s="1"/>
  <c r="C19" i="18"/>
  <c r="B20" i="18"/>
  <c r="A21" i="18"/>
  <c r="E57" i="1" l="1"/>
  <c r="L59" i="1"/>
  <c r="H190" i="11"/>
  <c r="M87" i="11" s="1"/>
  <c r="H189" i="11"/>
  <c r="M190" i="11"/>
  <c r="G142" i="1" s="1"/>
  <c r="L155" i="1"/>
  <c r="L154" i="1"/>
  <c r="I5" i="16"/>
  <c r="I7" i="16"/>
  <c r="I141" i="1"/>
  <c r="G37" i="7" s="1"/>
  <c r="G38" i="7"/>
  <c r="I59" i="1"/>
  <c r="I58" i="1"/>
  <c r="C57" i="1"/>
  <c r="E58" i="1"/>
  <c r="L58" i="1"/>
  <c r="G60" i="1"/>
  <c r="H61" i="1"/>
  <c r="E59" i="1"/>
  <c r="M144" i="11"/>
  <c r="M146" i="11" s="1"/>
  <c r="N61" i="1"/>
  <c r="M78" i="11"/>
  <c r="C142" i="11" s="1"/>
  <c r="O77" i="1"/>
  <c r="P10" i="20"/>
  <c r="K32" i="15"/>
  <c r="F10" i="15"/>
  <c r="G10" i="15" s="1"/>
  <c r="K30" i="15"/>
  <c r="G52" i="1"/>
  <c r="H77" i="11" s="1"/>
  <c r="E12" i="17"/>
  <c r="G120" i="1"/>
  <c r="C101" i="11"/>
  <c r="F8" i="7"/>
  <c r="N157" i="1"/>
  <c r="L8" i="7" s="1"/>
  <c r="J157" i="1"/>
  <c r="H8" i="7" s="1"/>
  <c r="K8" i="7" s="1"/>
  <c r="I38" i="7"/>
  <c r="K141" i="1"/>
  <c r="I37" i="7" s="1"/>
  <c r="G20" i="18"/>
  <c r="H20" i="18" s="1"/>
  <c r="F20" i="18"/>
  <c r="I19" i="18"/>
  <c r="B21" i="18"/>
  <c r="A22" i="18"/>
  <c r="C20" i="18"/>
  <c r="D20" i="18"/>
  <c r="E20" i="18" s="1"/>
  <c r="L120" i="1" l="1"/>
  <c r="J15" i="7" s="1"/>
  <c r="M82" i="11"/>
  <c r="C145" i="11"/>
  <c r="E85" i="1"/>
  <c r="C143" i="11"/>
  <c r="M81" i="11"/>
  <c r="I82" i="1"/>
  <c r="K56" i="1"/>
  <c r="G67" i="1"/>
  <c r="L159" i="1" s="1"/>
  <c r="H10" i="7" s="1"/>
  <c r="L13" i="15"/>
  <c r="N120" i="1"/>
  <c r="L15" i="7" s="1"/>
  <c r="C120" i="1"/>
  <c r="B15" i="7" s="1"/>
  <c r="E15" i="7" s="1"/>
  <c r="F120" i="1"/>
  <c r="D15" i="7" s="1"/>
  <c r="F15" i="7"/>
  <c r="J120" i="1"/>
  <c r="H15" i="7" s="1"/>
  <c r="G141" i="1"/>
  <c r="E37" i="7" s="1"/>
  <c r="E38" i="7"/>
  <c r="L157" i="1"/>
  <c r="D9" i="17"/>
  <c r="A19" i="17" s="1"/>
  <c r="F12" i="17"/>
  <c r="F9" i="17"/>
  <c r="E12" i="16"/>
  <c r="G121" i="1"/>
  <c r="N121" i="1" s="1"/>
  <c r="G21" i="18"/>
  <c r="H21" i="18" s="1"/>
  <c r="F21" i="18"/>
  <c r="I20" i="18"/>
  <c r="B22" i="18"/>
  <c r="A23" i="18"/>
  <c r="C21" i="18"/>
  <c r="D21" i="18"/>
  <c r="E21" i="18" s="1"/>
  <c r="L160" i="1" l="1"/>
  <c r="L127" i="1"/>
  <c r="N127" i="1"/>
  <c r="K61" i="1"/>
  <c r="I84" i="1"/>
  <c r="M86" i="11"/>
  <c r="B19" i="17"/>
  <c r="A20" i="17"/>
  <c r="I85" i="1"/>
  <c r="I89" i="1" s="1"/>
  <c r="F13" i="16"/>
  <c r="J127" i="1"/>
  <c r="J130" i="1" s="1"/>
  <c r="C121" i="1"/>
  <c r="F121" i="1"/>
  <c r="F16" i="7"/>
  <c r="J121" i="1"/>
  <c r="H16" i="7" s="1"/>
  <c r="L16" i="7"/>
  <c r="F9" i="16"/>
  <c r="D9" i="16"/>
  <c r="A19" i="16" s="1"/>
  <c r="F12" i="16"/>
  <c r="G68" i="1"/>
  <c r="J68" i="1" s="1"/>
  <c r="H79" i="11"/>
  <c r="M129" i="11"/>
  <c r="M130" i="11" s="1"/>
  <c r="E142" i="1" s="1"/>
  <c r="M164" i="11"/>
  <c r="K110" i="1" s="1"/>
  <c r="C112" i="11"/>
  <c r="H113" i="11" s="1"/>
  <c r="H120" i="11" s="1"/>
  <c r="H80" i="11"/>
  <c r="M173" i="11"/>
  <c r="N104" i="1" s="1"/>
  <c r="H154" i="11"/>
  <c r="L98" i="1" s="1"/>
  <c r="H170" i="11"/>
  <c r="H5" i="7"/>
  <c r="H11" i="7" s="1"/>
  <c r="H162" i="11"/>
  <c r="K101" i="1" s="1"/>
  <c r="M156" i="11"/>
  <c r="K107" i="1" s="1"/>
  <c r="M175" i="11"/>
  <c r="N107" i="1" s="1"/>
  <c r="F22" i="18"/>
  <c r="G22" i="18"/>
  <c r="H22" i="18" s="1"/>
  <c r="I21" i="18"/>
  <c r="A24" i="18"/>
  <c r="B23" i="18"/>
  <c r="C22" i="18"/>
  <c r="D22" i="18"/>
  <c r="E22" i="18" s="1"/>
  <c r="H81" i="11" l="1"/>
  <c r="M85" i="11" s="1"/>
  <c r="M89" i="11" s="1"/>
  <c r="M69" i="1" s="1"/>
  <c r="H122" i="11"/>
  <c r="H11" i="12" s="1"/>
  <c r="H115" i="11"/>
  <c r="G11" i="12" s="1"/>
  <c r="L22" i="7"/>
  <c r="L25" i="7" s="1"/>
  <c r="N130" i="1"/>
  <c r="J22" i="7"/>
  <c r="C38" i="7"/>
  <c r="M141" i="1"/>
  <c r="M146" i="1" s="1"/>
  <c r="F139" i="1"/>
  <c r="K104" i="1"/>
  <c r="M176" i="11"/>
  <c r="O100" i="1" s="1"/>
  <c r="A21" i="17"/>
  <c r="B20" i="17"/>
  <c r="D16" i="7"/>
  <c r="F127" i="1"/>
  <c r="D22" i="7" s="1"/>
  <c r="D19" i="17"/>
  <c r="E19" i="17" s="1"/>
  <c r="I19" i="17" s="1"/>
  <c r="C19" i="17"/>
  <c r="C127" i="1"/>
  <c r="B22" i="7" s="1"/>
  <c r="E22" i="7" s="1"/>
  <c r="B16" i="7"/>
  <c r="E16" i="7" s="1"/>
  <c r="M133" i="11"/>
  <c r="E11" i="13"/>
  <c r="H123" i="11"/>
  <c r="H11" i="13" s="1"/>
  <c r="F14" i="7"/>
  <c r="F19" i="7" s="1"/>
  <c r="C113" i="11"/>
  <c r="I80" i="1" s="1"/>
  <c r="I88" i="1" s="1"/>
  <c r="I90" i="1" s="1"/>
  <c r="E11" i="12"/>
  <c r="C19" i="12" s="1"/>
  <c r="G119" i="1"/>
  <c r="G124" i="1" s="1"/>
  <c r="C126" i="11"/>
  <c r="F11" i="12" s="1"/>
  <c r="H116" i="11"/>
  <c r="C127" i="11"/>
  <c r="M134" i="11"/>
  <c r="B19" i="16"/>
  <c r="A20" i="16"/>
  <c r="H22" i="7"/>
  <c r="H25" i="7" s="1"/>
  <c r="G23" i="18"/>
  <c r="H23" i="18" s="1"/>
  <c r="F23" i="18"/>
  <c r="I22" i="18"/>
  <c r="D23" i="18"/>
  <c r="E23" i="18" s="1"/>
  <c r="C23" i="18"/>
  <c r="A25" i="18"/>
  <c r="B24" i="18"/>
  <c r="K53" i="1" l="1"/>
  <c r="K70" i="1"/>
  <c r="M80" i="11"/>
  <c r="M83" i="11" s="1"/>
  <c r="C20" i="13"/>
  <c r="C19" i="13"/>
  <c r="C24" i="13"/>
  <c r="C38" i="13"/>
  <c r="C34" i="13"/>
  <c r="C35" i="13"/>
  <c r="C51" i="13"/>
  <c r="C30" i="13"/>
  <c r="C52" i="13"/>
  <c r="C25" i="13"/>
  <c r="C28" i="13"/>
  <c r="C29" i="13"/>
  <c r="C46" i="13"/>
  <c r="C21" i="13"/>
  <c r="C36" i="13"/>
  <c r="C37" i="13"/>
  <c r="C53" i="13"/>
  <c r="C27" i="13"/>
  <c r="C44" i="13"/>
  <c r="C45" i="13"/>
  <c r="C49" i="13"/>
  <c r="C33" i="13"/>
  <c r="C43" i="13"/>
  <c r="C39" i="13"/>
  <c r="C47" i="13"/>
  <c r="C26" i="13"/>
  <c r="C50" i="13"/>
  <c r="C31" i="13"/>
  <c r="C32" i="13"/>
  <c r="C41" i="13"/>
  <c r="C40" i="13"/>
  <c r="C48" i="13"/>
  <c r="C22" i="13"/>
  <c r="C23" i="13"/>
  <c r="C42" i="13"/>
  <c r="H117" i="11"/>
  <c r="L119" i="1" s="1"/>
  <c r="L122" i="1" s="1"/>
  <c r="J17" i="7" s="1"/>
  <c r="G11" i="13"/>
  <c r="D19" i="12"/>
  <c r="E19" i="12" s="1"/>
  <c r="C20" i="12" s="1"/>
  <c r="B20" i="16"/>
  <c r="A21" i="16"/>
  <c r="B21" i="17"/>
  <c r="A22" i="17"/>
  <c r="H124" i="11"/>
  <c r="N119" i="1" s="1"/>
  <c r="F19" i="16"/>
  <c r="G19" i="16"/>
  <c r="H19" i="16" s="1"/>
  <c r="C19" i="16"/>
  <c r="D19" i="16"/>
  <c r="E19" i="16" s="1"/>
  <c r="F11" i="13"/>
  <c r="C128" i="11"/>
  <c r="J119" i="1" s="1"/>
  <c r="D33" i="13"/>
  <c r="D51" i="13"/>
  <c r="D19" i="13"/>
  <c r="E19" i="13" s="1"/>
  <c r="D52" i="13"/>
  <c r="D36" i="13"/>
  <c r="D39" i="13"/>
  <c r="D27" i="13"/>
  <c r="D21" i="13"/>
  <c r="D47" i="13"/>
  <c r="D50" i="13"/>
  <c r="D34" i="13"/>
  <c r="D53" i="13"/>
  <c r="D30" i="13"/>
  <c r="D44" i="13"/>
  <c r="D31" i="13"/>
  <c r="D42" i="13"/>
  <c r="D32" i="13"/>
  <c r="D40" i="13"/>
  <c r="D49" i="13"/>
  <c r="D43" i="13"/>
  <c r="D38" i="13"/>
  <c r="D48" i="13"/>
  <c r="D46" i="13"/>
  <c r="D35" i="13"/>
  <c r="D22" i="13"/>
  <c r="D29" i="13"/>
  <c r="D41" i="13"/>
  <c r="D28" i="13"/>
  <c r="D26" i="13"/>
  <c r="D20" i="13"/>
  <c r="D37" i="13"/>
  <c r="D45" i="13"/>
  <c r="D24" i="13"/>
  <c r="D23" i="13"/>
  <c r="D25" i="13"/>
  <c r="C35" i="7"/>
  <c r="K38" i="7"/>
  <c r="K43" i="7" s="1"/>
  <c r="C20" i="17"/>
  <c r="D20" i="17"/>
  <c r="E20" i="17" s="1"/>
  <c r="I20" i="17" s="1"/>
  <c r="F24" i="18"/>
  <c r="G24" i="18"/>
  <c r="H24" i="18" s="1"/>
  <c r="I23" i="18"/>
  <c r="C24" i="18"/>
  <c r="D24" i="18"/>
  <c r="E24" i="18" s="1"/>
  <c r="A26" i="18"/>
  <c r="B25" i="18"/>
  <c r="D20" i="12" l="1"/>
  <c r="E20" i="12" s="1"/>
  <c r="C21" i="12" s="1"/>
  <c r="J14" i="7"/>
  <c r="L126" i="1"/>
  <c r="J21" i="7" s="1"/>
  <c r="J25" i="7" s="1"/>
  <c r="L121" i="1"/>
  <c r="J16" i="7" s="1"/>
  <c r="I19" i="16"/>
  <c r="N124" i="1"/>
  <c r="L14" i="7"/>
  <c r="L19" i="7" s="1"/>
  <c r="J124" i="1"/>
  <c r="H14" i="7"/>
  <c r="H19" i="7" s="1"/>
  <c r="B22" i="17"/>
  <c r="A23" i="17"/>
  <c r="D21" i="17"/>
  <c r="E21" i="17" s="1"/>
  <c r="I21" i="17" s="1"/>
  <c r="C21" i="17"/>
  <c r="I19" i="12"/>
  <c r="E20" i="13"/>
  <c r="I19" i="13"/>
  <c r="B21" i="16"/>
  <c r="A22" i="16"/>
  <c r="C20" i="16"/>
  <c r="F20" i="16"/>
  <c r="G20" i="16"/>
  <c r="H20" i="16" s="1"/>
  <c r="D20" i="16"/>
  <c r="E20" i="16" s="1"/>
  <c r="F25" i="18"/>
  <c r="G25" i="18"/>
  <c r="H25" i="18" s="1"/>
  <c r="I24" i="18"/>
  <c r="C25" i="18"/>
  <c r="D25" i="18"/>
  <c r="E25" i="18" s="1"/>
  <c r="A27" i="18"/>
  <c r="B26" i="18"/>
  <c r="J19" i="7" l="1"/>
  <c r="L130" i="1"/>
  <c r="D21" i="12"/>
  <c r="E21" i="12" s="1"/>
  <c r="L124" i="1"/>
  <c r="C21" i="16"/>
  <c r="D21" i="16"/>
  <c r="E21" i="16" s="1"/>
  <c r="F21" i="16"/>
  <c r="G21" i="16"/>
  <c r="H21" i="16" s="1"/>
  <c r="B23" i="17"/>
  <c r="A24" i="17"/>
  <c r="C22" i="17"/>
  <c r="D22" i="17"/>
  <c r="E22" i="17" s="1"/>
  <c r="I22" i="17" s="1"/>
  <c r="I20" i="16"/>
  <c r="I20" i="13"/>
  <c r="E21" i="13"/>
  <c r="I20" i="12"/>
  <c r="B22" i="16"/>
  <c r="A23" i="16"/>
  <c r="G26" i="18"/>
  <c r="H26" i="18" s="1"/>
  <c r="F26" i="18"/>
  <c r="I25" i="18"/>
  <c r="C26" i="18"/>
  <c r="D26" i="18"/>
  <c r="E26" i="18" s="1"/>
  <c r="A28" i="18"/>
  <c r="B27" i="18"/>
  <c r="C22" i="12" l="1"/>
  <c r="D22" i="12"/>
  <c r="E22" i="12" s="1"/>
  <c r="B24" i="17"/>
  <c r="A25" i="17"/>
  <c r="C23" i="17"/>
  <c r="D23" i="17"/>
  <c r="E23" i="17" s="1"/>
  <c r="I23" i="17" s="1"/>
  <c r="C22" i="16"/>
  <c r="F22" i="16"/>
  <c r="G22" i="16"/>
  <c r="H22" i="16" s="1"/>
  <c r="D22" i="16"/>
  <c r="E22" i="16" s="1"/>
  <c r="E22" i="13"/>
  <c r="I21" i="13"/>
  <c r="I21" i="12"/>
  <c r="I21" i="16"/>
  <c r="A24" i="16"/>
  <c r="B23" i="16"/>
  <c r="G27" i="18"/>
  <c r="H27" i="18" s="1"/>
  <c r="F27" i="18"/>
  <c r="I26" i="18"/>
  <c r="D27" i="18"/>
  <c r="E27" i="18" s="1"/>
  <c r="C27" i="18"/>
  <c r="A29" i="18"/>
  <c r="B28" i="18"/>
  <c r="C23" i="12" l="1"/>
  <c r="D23" i="12"/>
  <c r="E23" i="12" s="1"/>
  <c r="I27" i="18"/>
  <c r="B24" i="16"/>
  <c r="A25" i="16"/>
  <c r="I22" i="12"/>
  <c r="E23" i="13"/>
  <c r="I22" i="13"/>
  <c r="A26" i="17"/>
  <c r="B25" i="17"/>
  <c r="D23" i="16"/>
  <c r="E23" i="16" s="1"/>
  <c r="C23" i="16"/>
  <c r="G23" i="16"/>
  <c r="H23" i="16" s="1"/>
  <c r="F23" i="16"/>
  <c r="I22" i="16"/>
  <c r="D24" i="17"/>
  <c r="E24" i="17" s="1"/>
  <c r="I24" i="17" s="1"/>
  <c r="C24" i="17"/>
  <c r="F28" i="18"/>
  <c r="G28" i="18"/>
  <c r="H28" i="18" s="1"/>
  <c r="C28" i="18"/>
  <c r="D28" i="18"/>
  <c r="E28" i="18" s="1"/>
  <c r="A30" i="18"/>
  <c r="B29" i="18"/>
  <c r="C24" i="12" l="1"/>
  <c r="D24" i="12"/>
  <c r="E24" i="12" s="1"/>
  <c r="B26" i="17"/>
  <c r="A27" i="17"/>
  <c r="E24" i="13"/>
  <c r="I23" i="13"/>
  <c r="I23" i="12"/>
  <c r="I23" i="16"/>
  <c r="B25" i="16"/>
  <c r="A26" i="16"/>
  <c r="C25" i="17"/>
  <c r="D25" i="17"/>
  <c r="E25" i="17" s="1"/>
  <c r="I25" i="17" s="1"/>
  <c r="D24" i="16"/>
  <c r="E24" i="16" s="1"/>
  <c r="G24" i="16"/>
  <c r="H24" i="16" s="1"/>
  <c r="C24" i="16"/>
  <c r="F24" i="16"/>
  <c r="I28" i="18"/>
  <c r="F29" i="18"/>
  <c r="G29" i="18"/>
  <c r="H29" i="18" s="1"/>
  <c r="C29" i="18"/>
  <c r="D29" i="18"/>
  <c r="E29" i="18" s="1"/>
  <c r="A31" i="18"/>
  <c r="B30" i="18"/>
  <c r="C25" i="12" l="1"/>
  <c r="D25" i="12"/>
  <c r="E25" i="12" s="1"/>
  <c r="I24" i="12"/>
  <c r="E25" i="13"/>
  <c r="I24" i="13"/>
  <c r="I24" i="16"/>
  <c r="A27" i="16"/>
  <c r="B26" i="16"/>
  <c r="B27" i="17"/>
  <c r="A28" i="17"/>
  <c r="C25" i="16"/>
  <c r="D25" i="16"/>
  <c r="E25" i="16" s="1"/>
  <c r="G25" i="16"/>
  <c r="H25" i="16" s="1"/>
  <c r="F25" i="16"/>
  <c r="D26" i="17"/>
  <c r="E26" i="17" s="1"/>
  <c r="I26" i="17" s="1"/>
  <c r="C26" i="17"/>
  <c r="F30" i="18"/>
  <c r="G30" i="18"/>
  <c r="H30" i="18" s="1"/>
  <c r="I29" i="18"/>
  <c r="C30" i="18"/>
  <c r="D30" i="18"/>
  <c r="E30" i="18" s="1"/>
  <c r="A32" i="18"/>
  <c r="B31" i="18"/>
  <c r="C26" i="12" l="1"/>
  <c r="D26" i="12"/>
  <c r="E26" i="12" s="1"/>
  <c r="D26" i="16"/>
  <c r="E26" i="16" s="1"/>
  <c r="F26" i="16"/>
  <c r="C26" i="16"/>
  <c r="G26" i="16"/>
  <c r="H26" i="16" s="1"/>
  <c r="A28" i="16"/>
  <c r="B27" i="16"/>
  <c r="I25" i="16"/>
  <c r="I25" i="13"/>
  <c r="E26" i="13"/>
  <c r="A29" i="17"/>
  <c r="B28" i="17"/>
  <c r="C27" i="17"/>
  <c r="D27" i="17"/>
  <c r="E27" i="17" s="1"/>
  <c r="I27" i="17" s="1"/>
  <c r="I25" i="12"/>
  <c r="G31" i="18"/>
  <c r="H31" i="18" s="1"/>
  <c r="F31" i="18"/>
  <c r="I30" i="18"/>
  <c r="D31" i="18"/>
  <c r="E31" i="18" s="1"/>
  <c r="C31" i="18"/>
  <c r="B32" i="18"/>
  <c r="A33" i="18"/>
  <c r="C27" i="12" l="1"/>
  <c r="D27" i="12"/>
  <c r="E27" i="12" s="1"/>
  <c r="I26" i="12"/>
  <c r="D27" i="16"/>
  <c r="E27" i="16" s="1"/>
  <c r="G27" i="16"/>
  <c r="H27" i="16" s="1"/>
  <c r="C27" i="16"/>
  <c r="F27" i="16"/>
  <c r="A29" i="16"/>
  <c r="B28" i="16"/>
  <c r="I31" i="18"/>
  <c r="C28" i="17"/>
  <c r="D28" i="17"/>
  <c r="E28" i="17" s="1"/>
  <c r="I28" i="17" s="1"/>
  <c r="B29" i="17"/>
  <c r="A30" i="17"/>
  <c r="I26" i="13"/>
  <c r="E27" i="13"/>
  <c r="I26" i="16"/>
  <c r="G32" i="18"/>
  <c r="H32" i="18" s="1"/>
  <c r="F32" i="18"/>
  <c r="B33" i="18"/>
  <c r="A34" i="18"/>
  <c r="C32" i="18"/>
  <c r="D32" i="18"/>
  <c r="E32" i="18" s="1"/>
  <c r="C28" i="12" l="1"/>
  <c r="D28" i="12"/>
  <c r="E28" i="12" s="1"/>
  <c r="I32" i="18"/>
  <c r="I27" i="16"/>
  <c r="I27" i="13"/>
  <c r="E28" i="13"/>
  <c r="A30" i="16"/>
  <c r="B29" i="16"/>
  <c r="B30" i="17"/>
  <c r="A31" i="17"/>
  <c r="C29" i="17"/>
  <c r="D29" i="17"/>
  <c r="E29" i="17" s="1"/>
  <c r="I29" i="17" s="1"/>
  <c r="C28" i="16"/>
  <c r="D28" i="16"/>
  <c r="E28" i="16" s="1"/>
  <c r="G28" i="16"/>
  <c r="H28" i="16" s="1"/>
  <c r="F28" i="16"/>
  <c r="I27" i="12"/>
  <c r="F33" i="18"/>
  <c r="G33" i="18"/>
  <c r="H33" i="18" s="1"/>
  <c r="B34" i="18"/>
  <c r="A35" i="18"/>
  <c r="C33" i="18"/>
  <c r="D33" i="18"/>
  <c r="E33" i="18" s="1"/>
  <c r="C29" i="12" l="1"/>
  <c r="D29" i="12"/>
  <c r="E29" i="12" s="1"/>
  <c r="I28" i="16"/>
  <c r="I28" i="12"/>
  <c r="B31" i="17"/>
  <c r="A32" i="17"/>
  <c r="C30" i="17"/>
  <c r="D30" i="17"/>
  <c r="E30" i="17" s="1"/>
  <c r="I30" i="17" s="1"/>
  <c r="F29" i="16"/>
  <c r="G29" i="16"/>
  <c r="H29" i="16" s="1"/>
  <c r="C29" i="16"/>
  <c r="D29" i="16"/>
  <c r="E29" i="16" s="1"/>
  <c r="A31" i="16"/>
  <c r="B30" i="16"/>
  <c r="E29" i="13"/>
  <c r="I28" i="13"/>
  <c r="I33" i="18"/>
  <c r="G34" i="18"/>
  <c r="H34" i="18" s="1"/>
  <c r="F34" i="18"/>
  <c r="A36" i="18"/>
  <c r="B35" i="18"/>
  <c r="C34" i="18"/>
  <c r="D34" i="18"/>
  <c r="E34" i="18" s="1"/>
  <c r="C30" i="12" l="1"/>
  <c r="D30" i="12"/>
  <c r="E30" i="12" s="1"/>
  <c r="I29" i="16"/>
  <c r="D30" i="16"/>
  <c r="E30" i="16" s="1"/>
  <c r="G30" i="16"/>
  <c r="H30" i="16" s="1"/>
  <c r="C30" i="16"/>
  <c r="F30" i="16"/>
  <c r="A33" i="17"/>
  <c r="B32" i="17"/>
  <c r="I29" i="13"/>
  <c r="E30" i="13"/>
  <c r="A32" i="16"/>
  <c r="B31" i="16"/>
  <c r="D31" i="17"/>
  <c r="E31" i="17" s="1"/>
  <c r="I31" i="17" s="1"/>
  <c r="C31" i="17"/>
  <c r="I29" i="12"/>
  <c r="I34" i="18"/>
  <c r="G35" i="18"/>
  <c r="H35" i="18" s="1"/>
  <c r="F35" i="18"/>
  <c r="D35" i="18"/>
  <c r="E35" i="18" s="1"/>
  <c r="C35" i="18"/>
  <c r="B36" i="18"/>
  <c r="A37" i="18"/>
  <c r="C31" i="12" l="1"/>
  <c r="D31" i="12"/>
  <c r="E31" i="12" s="1"/>
  <c r="I30" i="13"/>
  <c r="E31" i="13"/>
  <c r="I30" i="12"/>
  <c r="C32" i="17"/>
  <c r="D32" i="17"/>
  <c r="E32" i="17" s="1"/>
  <c r="I32" i="17" s="1"/>
  <c r="B33" i="17"/>
  <c r="A34" i="17"/>
  <c r="C31" i="16"/>
  <c r="F31" i="16"/>
  <c r="D31" i="16"/>
  <c r="E31" i="16" s="1"/>
  <c r="G31" i="16"/>
  <c r="H31" i="16" s="1"/>
  <c r="A33" i="16"/>
  <c r="B32" i="16"/>
  <c r="I30" i="16"/>
  <c r="G36" i="18"/>
  <c r="H36" i="18" s="1"/>
  <c r="F36" i="18"/>
  <c r="I35" i="18"/>
  <c r="B37" i="18"/>
  <c r="A38" i="18"/>
  <c r="C36" i="18"/>
  <c r="D36" i="18"/>
  <c r="E36" i="18" s="1"/>
  <c r="C32" i="12" l="1"/>
  <c r="D32" i="12"/>
  <c r="E32" i="12" s="1"/>
  <c r="D33" i="17"/>
  <c r="E33" i="17" s="1"/>
  <c r="I33" i="17" s="1"/>
  <c r="C33" i="17"/>
  <c r="C32" i="16"/>
  <c r="D32" i="16"/>
  <c r="E32" i="16" s="1"/>
  <c r="G32" i="16"/>
  <c r="H32" i="16" s="1"/>
  <c r="F32" i="16"/>
  <c r="A34" i="16"/>
  <c r="B33" i="16"/>
  <c r="I31" i="16"/>
  <c r="I31" i="12"/>
  <c r="I31" i="13"/>
  <c r="E32" i="13"/>
  <c r="A35" i="17"/>
  <c r="B34" i="17"/>
  <c r="F37" i="18"/>
  <c r="G37" i="18"/>
  <c r="H37" i="18" s="1"/>
  <c r="I36" i="18"/>
  <c r="A39" i="18"/>
  <c r="B38" i="18"/>
  <c r="C37" i="18"/>
  <c r="D37" i="18"/>
  <c r="E37" i="18" s="1"/>
  <c r="C33" i="12" l="1"/>
  <c r="D33" i="12"/>
  <c r="E33" i="12" s="1"/>
  <c r="B35" i="17"/>
  <c r="A36" i="17"/>
  <c r="I32" i="12"/>
  <c r="I32" i="16"/>
  <c r="C34" i="17"/>
  <c r="D34" i="17"/>
  <c r="E34" i="17" s="1"/>
  <c r="I34" i="17" s="1"/>
  <c r="B34" i="16"/>
  <c r="A35" i="16"/>
  <c r="E33" i="13"/>
  <c r="I32" i="13"/>
  <c r="C33" i="16"/>
  <c r="G33" i="16"/>
  <c r="H33" i="16" s="1"/>
  <c r="D33" i="16"/>
  <c r="E33" i="16" s="1"/>
  <c r="F33" i="16"/>
  <c r="I37" i="18"/>
  <c r="G38" i="18"/>
  <c r="H38" i="18" s="1"/>
  <c r="F38" i="18"/>
  <c r="C38" i="18"/>
  <c r="D38" i="18"/>
  <c r="E38" i="18" s="1"/>
  <c r="B39" i="18"/>
  <c r="A40" i="18"/>
  <c r="C34" i="12" l="1"/>
  <c r="D34" i="12"/>
  <c r="E34" i="12" s="1"/>
  <c r="I33" i="16"/>
  <c r="I33" i="12"/>
  <c r="B35" i="16"/>
  <c r="A36" i="16"/>
  <c r="A37" i="17"/>
  <c r="B36" i="17"/>
  <c r="I33" i="13"/>
  <c r="E34" i="13"/>
  <c r="C34" i="16"/>
  <c r="D34" i="16"/>
  <c r="E34" i="16" s="1"/>
  <c r="G34" i="16"/>
  <c r="H34" i="16" s="1"/>
  <c r="F34" i="16"/>
  <c r="C35" i="17"/>
  <c r="D35" i="17"/>
  <c r="E35" i="17" s="1"/>
  <c r="I35" i="17" s="1"/>
  <c r="G39" i="18"/>
  <c r="H39" i="18" s="1"/>
  <c r="F39" i="18"/>
  <c r="I38" i="18"/>
  <c r="A41" i="18"/>
  <c r="B40" i="18"/>
  <c r="C39" i="18"/>
  <c r="D39" i="18"/>
  <c r="E39" i="18" s="1"/>
  <c r="C35" i="12" l="1"/>
  <c r="D35" i="12"/>
  <c r="E35" i="12" s="1"/>
  <c r="I34" i="16"/>
  <c r="D36" i="17"/>
  <c r="E36" i="17" s="1"/>
  <c r="I36" i="17" s="1"/>
  <c r="C36" i="17"/>
  <c r="A38" i="17"/>
  <c r="B37" i="17"/>
  <c r="B36" i="16"/>
  <c r="A37" i="16"/>
  <c r="C35" i="16"/>
  <c r="D35" i="16"/>
  <c r="E35" i="16" s="1"/>
  <c r="F35" i="16"/>
  <c r="G35" i="16"/>
  <c r="H35" i="16" s="1"/>
  <c r="I34" i="12"/>
  <c r="E35" i="13"/>
  <c r="I34" i="13"/>
  <c r="I39" i="18"/>
  <c r="F40" i="18"/>
  <c r="G40" i="18"/>
  <c r="H40" i="18" s="1"/>
  <c r="C40" i="18"/>
  <c r="D40" i="18"/>
  <c r="E40" i="18" s="1"/>
  <c r="A42" i="18"/>
  <c r="B41" i="18"/>
  <c r="C36" i="12" l="1"/>
  <c r="D36" i="12"/>
  <c r="E36" i="12" s="1"/>
  <c r="I35" i="16"/>
  <c r="I35" i="13"/>
  <c r="E36" i="13"/>
  <c r="G36" i="16"/>
  <c r="H36" i="16" s="1"/>
  <c r="F36" i="16"/>
  <c r="C36" i="16"/>
  <c r="D36" i="16"/>
  <c r="E36" i="16" s="1"/>
  <c r="I35" i="12"/>
  <c r="D37" i="17"/>
  <c r="E37" i="17" s="1"/>
  <c r="I37" i="17" s="1"/>
  <c r="C37" i="17"/>
  <c r="A38" i="16"/>
  <c r="B37" i="16"/>
  <c r="B38" i="17"/>
  <c r="A39" i="17"/>
  <c r="F41" i="18"/>
  <c r="G41" i="18"/>
  <c r="H41" i="18" s="1"/>
  <c r="I40" i="18"/>
  <c r="C41" i="18"/>
  <c r="D41" i="18"/>
  <c r="E41" i="18" s="1"/>
  <c r="A43" i="18"/>
  <c r="B42" i="18"/>
  <c r="I36" i="16" l="1"/>
  <c r="C37" i="12"/>
  <c r="D37" i="12"/>
  <c r="E37" i="12" s="1"/>
  <c r="I36" i="12"/>
  <c r="C37" i="16"/>
  <c r="F37" i="16"/>
  <c r="D37" i="16"/>
  <c r="E37" i="16" s="1"/>
  <c r="G37" i="16"/>
  <c r="H37" i="16" s="1"/>
  <c r="A39" i="16"/>
  <c r="B38" i="16"/>
  <c r="B39" i="17"/>
  <c r="A40" i="17"/>
  <c r="I36" i="13"/>
  <c r="E37" i="13"/>
  <c r="D38" i="17"/>
  <c r="E38" i="17" s="1"/>
  <c r="I38" i="17" s="1"/>
  <c r="C38" i="17"/>
  <c r="F42" i="18"/>
  <c r="G42" i="18"/>
  <c r="H42" i="18" s="1"/>
  <c r="I41" i="18"/>
  <c r="C42" i="18"/>
  <c r="D42" i="18"/>
  <c r="E42" i="18" s="1"/>
  <c r="A44" i="18"/>
  <c r="B43" i="18"/>
  <c r="C38" i="12" l="1"/>
  <c r="D38" i="12"/>
  <c r="E38" i="12" s="1"/>
  <c r="B39" i="16"/>
  <c r="A40" i="16"/>
  <c r="I37" i="16"/>
  <c r="I37" i="12"/>
  <c r="E38" i="13"/>
  <c r="I37" i="13"/>
  <c r="B40" i="17"/>
  <c r="A41" i="17"/>
  <c r="C39" i="17"/>
  <c r="D39" i="17"/>
  <c r="E39" i="17" s="1"/>
  <c r="I39" i="17" s="1"/>
  <c r="G38" i="16"/>
  <c r="H38" i="16" s="1"/>
  <c r="C38" i="16"/>
  <c r="D38" i="16"/>
  <c r="E38" i="16" s="1"/>
  <c r="I38" i="16" s="1"/>
  <c r="F38" i="16"/>
  <c r="F43" i="18"/>
  <c r="G43" i="18"/>
  <c r="H43" i="18" s="1"/>
  <c r="I42" i="18"/>
  <c r="D43" i="18"/>
  <c r="E43" i="18" s="1"/>
  <c r="C43" i="18"/>
  <c r="A45" i="18"/>
  <c r="B44" i="18"/>
  <c r="C39" i="12" l="1"/>
  <c r="D39" i="12"/>
  <c r="E39" i="12" s="1"/>
  <c r="I38" i="13"/>
  <c r="E39" i="13"/>
  <c r="I38" i="12"/>
  <c r="B41" i="17"/>
  <c r="A42" i="17"/>
  <c r="B40" i="16"/>
  <c r="A41" i="16"/>
  <c r="D40" i="17"/>
  <c r="E40" i="17" s="1"/>
  <c r="I40" i="17" s="1"/>
  <c r="C40" i="17"/>
  <c r="F39" i="16"/>
  <c r="G39" i="16"/>
  <c r="H39" i="16" s="1"/>
  <c r="D39" i="16"/>
  <c r="E39" i="16" s="1"/>
  <c r="C39" i="16"/>
  <c r="I43" i="18"/>
  <c r="G44" i="18"/>
  <c r="H44" i="18" s="1"/>
  <c r="F44" i="18"/>
  <c r="C44" i="18"/>
  <c r="D44" i="18"/>
  <c r="E44" i="18" s="1"/>
  <c r="A46" i="18"/>
  <c r="B45" i="18"/>
  <c r="C40" i="12" l="1"/>
  <c r="D40" i="12"/>
  <c r="E40" i="12" s="1"/>
  <c r="I39" i="16"/>
  <c r="C40" i="16"/>
  <c r="D40" i="16"/>
  <c r="E40" i="16" s="1"/>
  <c r="F40" i="16"/>
  <c r="G40" i="16"/>
  <c r="H40" i="16" s="1"/>
  <c r="B42" i="17"/>
  <c r="A43" i="17"/>
  <c r="C41" i="17"/>
  <c r="D41" i="17"/>
  <c r="E41" i="17" s="1"/>
  <c r="I41" i="17" s="1"/>
  <c r="I39" i="12"/>
  <c r="E40" i="13"/>
  <c r="I39" i="13"/>
  <c r="B41" i="16"/>
  <c r="A42" i="16"/>
  <c r="F45" i="18"/>
  <c r="G45" i="18"/>
  <c r="H45" i="18" s="1"/>
  <c r="I44" i="18"/>
  <c r="C45" i="18"/>
  <c r="D45" i="18"/>
  <c r="E45" i="18" s="1"/>
  <c r="A47" i="18"/>
  <c r="B46" i="18"/>
  <c r="C41" i="12" l="1"/>
  <c r="D41" i="12"/>
  <c r="E41" i="12" s="1"/>
  <c r="D42" i="17"/>
  <c r="E42" i="17" s="1"/>
  <c r="I42" i="17" s="1"/>
  <c r="C42" i="17"/>
  <c r="B42" i="16"/>
  <c r="A43" i="16"/>
  <c r="C41" i="16"/>
  <c r="G41" i="16"/>
  <c r="H41" i="16" s="1"/>
  <c r="F41" i="16"/>
  <c r="D41" i="16"/>
  <c r="E41" i="16" s="1"/>
  <c r="I40" i="13"/>
  <c r="E41" i="13"/>
  <c r="B43" i="17"/>
  <c r="A44" i="17"/>
  <c r="I40" i="12"/>
  <c r="I40" i="16"/>
  <c r="F46" i="18"/>
  <c r="G46" i="18"/>
  <c r="H46" i="18" s="1"/>
  <c r="I45" i="18"/>
  <c r="A48" i="18"/>
  <c r="B47" i="18"/>
  <c r="D46" i="18"/>
  <c r="E46" i="18" s="1"/>
  <c r="C46" i="18"/>
  <c r="C42" i="12" l="1"/>
  <c r="D42" i="12"/>
  <c r="E42" i="12" s="1"/>
  <c r="B44" i="17"/>
  <c r="A45" i="17"/>
  <c r="I41" i="12"/>
  <c r="C43" i="17"/>
  <c r="D43" i="17"/>
  <c r="E43" i="17" s="1"/>
  <c r="I43" i="17" s="1"/>
  <c r="B43" i="16"/>
  <c r="A44" i="16"/>
  <c r="I41" i="13"/>
  <c r="E42" i="13"/>
  <c r="C42" i="16"/>
  <c r="D42" i="16"/>
  <c r="E42" i="16" s="1"/>
  <c r="F42" i="16"/>
  <c r="G42" i="16"/>
  <c r="H42" i="16" s="1"/>
  <c r="I41" i="16"/>
  <c r="I46" i="18"/>
  <c r="F47" i="18"/>
  <c r="G47" i="18"/>
  <c r="H47" i="18" s="1"/>
  <c r="D47" i="18"/>
  <c r="E47" i="18" s="1"/>
  <c r="C47" i="18"/>
  <c r="A49" i="18"/>
  <c r="B48" i="18"/>
  <c r="C43" i="12" l="1"/>
  <c r="D43" i="12"/>
  <c r="E43" i="12" s="1"/>
  <c r="D43" i="16"/>
  <c r="E43" i="16" s="1"/>
  <c r="C43" i="16"/>
  <c r="F43" i="16"/>
  <c r="G43" i="16"/>
  <c r="H43" i="16" s="1"/>
  <c r="I42" i="12"/>
  <c r="I42" i="16"/>
  <c r="B45" i="17"/>
  <c r="A46" i="17"/>
  <c r="E43" i="13"/>
  <c r="I42" i="13"/>
  <c r="A45" i="16"/>
  <c r="B44" i="16"/>
  <c r="D44" i="17"/>
  <c r="E44" i="17" s="1"/>
  <c r="I44" i="17" s="1"/>
  <c r="C44" i="17"/>
  <c r="I47" i="18"/>
  <c r="F48" i="18"/>
  <c r="G48" i="18"/>
  <c r="H48" i="18" s="1"/>
  <c r="D48" i="18"/>
  <c r="E48" i="18" s="1"/>
  <c r="C48" i="18"/>
  <c r="A50" i="18"/>
  <c r="B49" i="18"/>
  <c r="C44" i="12" l="1"/>
  <c r="D44" i="12"/>
  <c r="E44" i="12" s="1"/>
  <c r="D44" i="16"/>
  <c r="E44" i="16" s="1"/>
  <c r="C44" i="16"/>
  <c r="F44" i="16"/>
  <c r="G44" i="16"/>
  <c r="H44" i="16" s="1"/>
  <c r="I43" i="12"/>
  <c r="A46" i="16"/>
  <c r="B45" i="16"/>
  <c r="I43" i="13"/>
  <c r="E44" i="13"/>
  <c r="A47" i="17"/>
  <c r="B46" i="17"/>
  <c r="C45" i="17"/>
  <c r="D45" i="17"/>
  <c r="E45" i="17" s="1"/>
  <c r="I45" i="17" s="1"/>
  <c r="I43" i="16"/>
  <c r="I48" i="18"/>
  <c r="F49" i="18"/>
  <c r="G49" i="18"/>
  <c r="H49" i="18" s="1"/>
  <c r="C49" i="18"/>
  <c r="D49" i="18"/>
  <c r="E49" i="18" s="1"/>
  <c r="A51" i="18"/>
  <c r="B50" i="18"/>
  <c r="C45" i="12" l="1"/>
  <c r="D45" i="12"/>
  <c r="E45" i="12" s="1"/>
  <c r="A47" i="16"/>
  <c r="B46" i="16"/>
  <c r="I44" i="12"/>
  <c r="D46" i="17"/>
  <c r="E46" i="17" s="1"/>
  <c r="I46" i="17" s="1"/>
  <c r="C46" i="17"/>
  <c r="A48" i="17"/>
  <c r="B47" i="17"/>
  <c r="I44" i="13"/>
  <c r="E45" i="13"/>
  <c r="D45" i="16"/>
  <c r="E45" i="16" s="1"/>
  <c r="F45" i="16"/>
  <c r="C45" i="16"/>
  <c r="G45" i="16"/>
  <c r="H45" i="16" s="1"/>
  <c r="I44" i="16"/>
  <c r="F50" i="18"/>
  <c r="G50" i="18"/>
  <c r="H50" i="18" s="1"/>
  <c r="I49" i="18"/>
  <c r="C50" i="18"/>
  <c r="D50" i="18"/>
  <c r="E50" i="18" s="1"/>
  <c r="A52" i="18"/>
  <c r="B51" i="18"/>
  <c r="C46" i="12" l="1"/>
  <c r="D46" i="12"/>
  <c r="E46" i="12" s="1"/>
  <c r="A49" i="17"/>
  <c r="B48" i="17"/>
  <c r="I45" i="16"/>
  <c r="I45" i="13"/>
  <c r="E46" i="13"/>
  <c r="I45" i="12"/>
  <c r="C46" i="16"/>
  <c r="F46" i="16"/>
  <c r="D46" i="16"/>
  <c r="E46" i="16" s="1"/>
  <c r="G46" i="16"/>
  <c r="H46" i="16" s="1"/>
  <c r="C47" i="17"/>
  <c r="D47" i="17"/>
  <c r="E47" i="17" s="1"/>
  <c r="I47" i="17" s="1"/>
  <c r="B47" i="16"/>
  <c r="A48" i="16"/>
  <c r="I50" i="18"/>
  <c r="F51" i="18"/>
  <c r="G51" i="18"/>
  <c r="H51" i="18" s="1"/>
  <c r="D51" i="18"/>
  <c r="E51" i="18" s="1"/>
  <c r="C51" i="18"/>
  <c r="B52" i="18"/>
  <c r="A53" i="18"/>
  <c r="B53" i="18" s="1"/>
  <c r="C47" i="12" l="1"/>
  <c r="D47" i="12"/>
  <c r="E47" i="12" s="1"/>
  <c r="B48" i="16"/>
  <c r="A49" i="16"/>
  <c r="I46" i="12"/>
  <c r="E47" i="13"/>
  <c r="I46" i="13"/>
  <c r="G47" i="16"/>
  <c r="H47" i="16" s="1"/>
  <c r="F47" i="16"/>
  <c r="C47" i="16"/>
  <c r="D47" i="16"/>
  <c r="E47" i="16" s="1"/>
  <c r="I46" i="16"/>
  <c r="C48" i="17"/>
  <c r="D48" i="17"/>
  <c r="E48" i="17" s="1"/>
  <c r="I48" i="17" s="1"/>
  <c r="B49" i="17"/>
  <c r="A50" i="17"/>
  <c r="F53" i="18"/>
  <c r="F52" i="18"/>
  <c r="G52" i="18"/>
  <c r="H52" i="18" s="1"/>
  <c r="I51" i="18"/>
  <c r="C52" i="18"/>
  <c r="D52" i="18"/>
  <c r="E52" i="18" s="1"/>
  <c r="C48" i="12" l="1"/>
  <c r="D48" i="12"/>
  <c r="E48" i="12" s="1"/>
  <c r="D49" i="17"/>
  <c r="E49" i="17" s="1"/>
  <c r="I49" i="17" s="1"/>
  <c r="C49" i="17"/>
  <c r="I47" i="13"/>
  <c r="E48" i="13"/>
  <c r="I47" i="12"/>
  <c r="I47" i="16"/>
  <c r="B50" i="17"/>
  <c r="A51" i="17"/>
  <c r="A50" i="16"/>
  <c r="B49" i="16"/>
  <c r="F48" i="16"/>
  <c r="G48" i="16"/>
  <c r="H48" i="16" s="1"/>
  <c r="C48" i="16"/>
  <c r="D48" i="16"/>
  <c r="E48" i="16" s="1"/>
  <c r="I48" i="16" s="1"/>
  <c r="G53" i="18"/>
  <c r="H53" i="18" s="1"/>
  <c r="I52" i="18"/>
  <c r="C53" i="18"/>
  <c r="D53" i="18"/>
  <c r="E53" i="18" s="1"/>
  <c r="C49" i="12" l="1"/>
  <c r="D49" i="12"/>
  <c r="E49" i="12" s="1"/>
  <c r="C49" i="16"/>
  <c r="F49" i="16"/>
  <c r="D49" i="16"/>
  <c r="E49" i="16" s="1"/>
  <c r="G49" i="16"/>
  <c r="H49" i="16" s="1"/>
  <c r="I48" i="13"/>
  <c r="E49" i="13"/>
  <c r="A51" i="16"/>
  <c r="B50" i="16"/>
  <c r="I48" i="12"/>
  <c r="B51" i="17"/>
  <c r="A52" i="17"/>
  <c r="C50" i="17"/>
  <c r="D50" i="17"/>
  <c r="E50" i="17" s="1"/>
  <c r="I50" i="17" s="1"/>
  <c r="I53" i="18"/>
  <c r="C50" i="12" l="1"/>
  <c r="D50" i="12"/>
  <c r="E50" i="12" s="1"/>
  <c r="I49" i="13"/>
  <c r="E50" i="13"/>
  <c r="A53" i="17"/>
  <c r="B53" i="17" s="1"/>
  <c r="B52" i="17"/>
  <c r="C51" i="17"/>
  <c r="D51" i="17"/>
  <c r="E51" i="17" s="1"/>
  <c r="I51" i="17" s="1"/>
  <c r="A52" i="16"/>
  <c r="B51" i="16"/>
  <c r="I49" i="16"/>
  <c r="I49" i="12"/>
  <c r="C50" i="16"/>
  <c r="G50" i="16"/>
  <c r="H50" i="16" s="1"/>
  <c r="D50" i="16"/>
  <c r="E50" i="16" s="1"/>
  <c r="F50" i="16"/>
  <c r="H63" i="11"/>
  <c r="H64" i="11" s="1"/>
  <c r="H61" i="11"/>
  <c r="H62" i="11" s="1"/>
  <c r="M68" i="11"/>
  <c r="M65" i="11"/>
  <c r="M66" i="11" s="1"/>
  <c r="M61" i="11"/>
  <c r="M62" i="11" s="1"/>
  <c r="M63" i="11"/>
  <c r="M64" i="11" s="1"/>
  <c r="C51" i="12" l="1"/>
  <c r="D51" i="12"/>
  <c r="E51" i="12" s="1"/>
  <c r="I50" i="16"/>
  <c r="C51" i="16"/>
  <c r="D51" i="16"/>
  <c r="E51" i="16" s="1"/>
  <c r="G51" i="16"/>
  <c r="H51" i="16" s="1"/>
  <c r="F51" i="16"/>
  <c r="B52" i="16"/>
  <c r="A53" i="16"/>
  <c r="B53" i="16" s="1"/>
  <c r="I50" i="12"/>
  <c r="D52" i="17"/>
  <c r="E52" i="17" s="1"/>
  <c r="I52" i="17" s="1"/>
  <c r="C52" i="17"/>
  <c r="I50" i="13"/>
  <c r="E51" i="13"/>
  <c r="F38" i="1"/>
  <c r="M39" i="1"/>
  <c r="F39" i="1"/>
  <c r="M38" i="1"/>
  <c r="C52" i="12" l="1"/>
  <c r="D52" i="12"/>
  <c r="E52" i="12" s="1"/>
  <c r="C53" i="17"/>
  <c r="D53" i="17"/>
  <c r="E53" i="17" s="1"/>
  <c r="I53" i="17" s="1"/>
  <c r="I51" i="12"/>
  <c r="I51" i="13"/>
  <c r="E52" i="13"/>
  <c r="F53" i="16"/>
  <c r="D52" i="16"/>
  <c r="E52" i="16" s="1"/>
  <c r="D53" i="16" s="1"/>
  <c r="E53" i="16" s="1"/>
  <c r="C52" i="16"/>
  <c r="F52" i="16"/>
  <c r="G52" i="16"/>
  <c r="H52" i="16" s="1"/>
  <c r="G53" i="16" s="1"/>
  <c r="H53" i="16" s="1"/>
  <c r="I51" i="16"/>
  <c r="C53" i="12" l="1"/>
  <c r="D53" i="12"/>
  <c r="E53" i="12" s="1"/>
  <c r="I53" i="12" s="1"/>
  <c r="I52" i="12"/>
  <c r="I53" i="16"/>
  <c r="I52" i="13"/>
  <c r="E53" i="13"/>
  <c r="I53" i="13" s="1"/>
  <c r="I52" i="16"/>
  <c r="C5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安倍伸一</author>
  </authors>
  <commentList>
    <comment ref="G15" authorId="0" shapeId="0" xr:uid="{00000000-0006-0000-0000-000001000000}">
      <text>
        <r>
          <rPr>
            <sz val="9"/>
            <color indexed="81"/>
            <rFont val="ＭＳ Ｐゴシック"/>
            <family val="3"/>
            <charset val="128"/>
          </rPr>
          <t>①既存のローン
②MSJご紹介以外の金融機関にて併せ貸しされる場合
の年間返済額を入力下さい。</t>
        </r>
      </text>
    </comment>
    <comment ref="L15" authorId="0" shapeId="0" xr:uid="{00000000-0006-0000-0000-000002000000}">
      <text>
        <r>
          <rPr>
            <sz val="9"/>
            <color indexed="81"/>
            <rFont val="ＭＳ Ｐゴシック"/>
            <family val="3"/>
            <charset val="128"/>
          </rPr>
          <t>①既存のローン
②MSJご紹介以外の金融機関にて併せ貸しされる場合
の年間返済額を入力下さい。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長島 芳興</author>
  </authors>
  <commentList>
    <comment ref="C78" authorId="0" shapeId="0" xr:uid="{00000000-0006-0000-0100-000001000000}">
      <text>
        <r>
          <rPr>
            <b/>
            <sz val="9"/>
            <color indexed="81"/>
            <rFont val="ＭＳ Ｐゴシック"/>
            <family val="3"/>
            <charset val="128"/>
          </rPr>
          <t>長島 芳興:</t>
        </r>
        <r>
          <rPr>
            <sz val="9"/>
            <color indexed="81"/>
            <rFont val="ＭＳ Ｐゴシック"/>
            <family val="3"/>
            <charset val="128"/>
          </rPr>
          <t xml:space="preserve">
軽減型を中止したため
標準型に固定</t>
        </r>
      </text>
    </comment>
  </commentList>
</comments>
</file>

<file path=xl/sharedStrings.xml><?xml version="1.0" encoding="utf-8"?>
<sst xmlns="http://schemas.openxmlformats.org/spreadsheetml/2006/main" count="1201" uniqueCount="670">
  <si>
    <t xml:space="preserve">    資金計画シミュレーション</t>
    <rPh sb="4" eb="6">
      <t>シキン</t>
    </rPh>
    <rPh sb="6" eb="8">
      <t>ケイカク</t>
    </rPh>
    <phoneticPr fontId="8"/>
  </si>
  <si>
    <t>こちらのセルを入力下さい。→</t>
    <rPh sb="7" eb="9">
      <t>ニュウリョク</t>
    </rPh>
    <rPh sb="9" eb="10">
      <t>クダ</t>
    </rPh>
    <phoneticPr fontId="8"/>
  </si>
  <si>
    <t>step.1／借入可能額算出</t>
    <rPh sb="7" eb="9">
      <t>カリイレ</t>
    </rPh>
    <rPh sb="9" eb="11">
      <t>カノウ</t>
    </rPh>
    <rPh sb="11" eb="12">
      <t>ガク</t>
    </rPh>
    <rPh sb="12" eb="14">
      <t>サンシュツ</t>
    </rPh>
    <phoneticPr fontId="8"/>
  </si>
  <si>
    <t>uuu</t>
    <phoneticPr fontId="8"/>
  </si>
  <si>
    <t>お客様の条件より、借入可能額を算出致します。</t>
    <phoneticPr fontId="8"/>
  </si>
  <si>
    <t>お名前</t>
    <rPh sb="1" eb="3">
      <t>ナマエ</t>
    </rPh>
    <phoneticPr fontId="8"/>
  </si>
  <si>
    <t>申込本人</t>
    <rPh sb="0" eb="2">
      <t>モウシコミ</t>
    </rPh>
    <rPh sb="2" eb="4">
      <t>ホンニン</t>
    </rPh>
    <phoneticPr fontId="8"/>
  </si>
  <si>
    <t>様</t>
    <rPh sb="0" eb="1">
      <t>サマ</t>
    </rPh>
    <phoneticPr fontId="8"/>
  </si>
  <si>
    <t>収入合算者</t>
    <rPh sb="0" eb="2">
      <t>シュウニュウ</t>
    </rPh>
    <rPh sb="2" eb="4">
      <t>ガッサン</t>
    </rPh>
    <rPh sb="4" eb="5">
      <t>シャ</t>
    </rPh>
    <phoneticPr fontId="8"/>
  </si>
  <si>
    <t>ご年齢</t>
    <rPh sb="1" eb="3">
      <t>ネンレイ</t>
    </rPh>
    <phoneticPr fontId="8"/>
  </si>
  <si>
    <t>歳</t>
    <rPh sb="0" eb="1">
      <t>サイ</t>
    </rPh>
    <phoneticPr fontId="8"/>
  </si>
  <si>
    <t>親子リレー返済の場合にはチェックして下さい→</t>
    <rPh sb="0" eb="2">
      <t>オヤコ</t>
    </rPh>
    <rPh sb="5" eb="7">
      <t>ヘンサイ</t>
    </rPh>
    <rPh sb="8" eb="10">
      <t>バアイ</t>
    </rPh>
    <rPh sb="18" eb="19">
      <t>クダ</t>
    </rPh>
    <phoneticPr fontId="8"/>
  </si>
  <si>
    <t>MSJフラット最長借入年数</t>
    <rPh sb="7" eb="9">
      <t>サイチョウ</t>
    </rPh>
    <rPh sb="9" eb="11">
      <t>カリイレ</t>
    </rPh>
    <rPh sb="11" eb="13">
      <t>ネンスウ</t>
    </rPh>
    <phoneticPr fontId="8"/>
  </si>
  <si>
    <t>ご年収</t>
    <rPh sb="1" eb="3">
      <t>ネンシュウ</t>
    </rPh>
    <phoneticPr fontId="8"/>
  </si>
  <si>
    <t>万円</t>
    <rPh sb="0" eb="2">
      <t>マンエン</t>
    </rPh>
    <phoneticPr fontId="8"/>
  </si>
  <si>
    <t>合算額を1/2にする　→　　　　　　</t>
    <rPh sb="0" eb="3">
      <t>ガッサンガク</t>
    </rPh>
    <phoneticPr fontId="8"/>
  </si>
  <si>
    <t>.</t>
    <phoneticPr fontId="8"/>
  </si>
  <si>
    <t>他のお借入の年間返済額</t>
    <rPh sb="0" eb="1">
      <t>タ</t>
    </rPh>
    <rPh sb="3" eb="5">
      <t>カリイレ</t>
    </rPh>
    <rPh sb="6" eb="8">
      <t>ネンカン</t>
    </rPh>
    <rPh sb="8" eb="10">
      <t>ヘンサイ</t>
    </rPh>
    <rPh sb="10" eb="11">
      <t>ガク</t>
    </rPh>
    <phoneticPr fontId="8"/>
  </si>
  <si>
    <t>MSJフラット返済方法</t>
    <rPh sb="7" eb="9">
      <t>ヘンサイ</t>
    </rPh>
    <rPh sb="9" eb="11">
      <t>ホウホウ</t>
    </rPh>
    <phoneticPr fontId="8"/>
  </si>
  <si>
    <t>元利均等返済</t>
    <rPh sb="0" eb="2">
      <t>ガンリ</t>
    </rPh>
    <rPh sb="2" eb="4">
      <t>キントウ</t>
    </rPh>
    <rPh sb="4" eb="6">
      <t>ヘンサイ</t>
    </rPh>
    <phoneticPr fontId="8"/>
  </si>
  <si>
    <t>元金均等返済</t>
    <rPh sb="0" eb="2">
      <t>ガンキン</t>
    </rPh>
    <rPh sb="2" eb="4">
      <t>キントウ</t>
    </rPh>
    <rPh sb="4" eb="6">
      <t>ヘンサイ</t>
    </rPh>
    <phoneticPr fontId="8"/>
  </si>
  <si>
    <r>
      <t>今月のフラット（団信不加入）
　　  　　　　　 　買取型　　</t>
    </r>
    <r>
      <rPr>
        <sz val="6"/>
        <rFont val="ＭＳ Ｐゴシック"/>
        <family val="3"/>
        <charset val="128"/>
      </rPr>
      <t>修正</t>
    </r>
    <r>
      <rPr>
        <sz val="11"/>
        <rFont val="ＭＳ Ｐゴシック"/>
        <family val="3"/>
        <charset val="128"/>
      </rPr>
      <t>　　保証型　</t>
    </r>
    <r>
      <rPr>
        <sz val="6"/>
        <rFont val="ＭＳ Ｐゴシック"/>
        <family val="3"/>
        <charset val="128"/>
      </rPr>
      <t>修正</t>
    </r>
    <rPh sb="0" eb="2">
      <t>コンゲツ</t>
    </rPh>
    <rPh sb="8" eb="10">
      <t>ダンシン</t>
    </rPh>
    <rPh sb="10" eb="11">
      <t>フ</t>
    </rPh>
    <rPh sb="11" eb="13">
      <t>カニュウ</t>
    </rPh>
    <rPh sb="26" eb="29">
      <t>カイトリガタ</t>
    </rPh>
    <rPh sb="31" eb="33">
      <t>シュウセイ</t>
    </rPh>
    <rPh sb="35" eb="38">
      <t>ホショウガタ</t>
    </rPh>
    <rPh sb="39" eb="41">
      <t>シュウセイ</t>
    </rPh>
    <phoneticPr fontId="8"/>
  </si>
  <si>
    <t>住宅性能</t>
    <rPh sb="0" eb="4">
      <t>ジュウタクセイノウ</t>
    </rPh>
    <phoneticPr fontId="8"/>
  </si>
  <si>
    <t>仮合計</t>
    <rPh sb="0" eb="1">
      <t>カリ</t>
    </rPh>
    <rPh sb="1" eb="3">
      <t>ゴウケイ</t>
    </rPh>
    <phoneticPr fontId="8"/>
  </si>
  <si>
    <t>２０年以下</t>
    <rPh sb="2" eb="3">
      <t>ネン</t>
    </rPh>
    <rPh sb="3" eb="5">
      <t>イカ</t>
    </rPh>
    <phoneticPr fontId="8"/>
  </si>
  <si>
    <t>維持保全</t>
    <rPh sb="0" eb="4">
      <t>イジホゼン</t>
    </rPh>
    <phoneticPr fontId="8"/>
  </si>
  <si>
    <t>２０年超</t>
    <rPh sb="2" eb="4">
      <t>ネンチョウ</t>
    </rPh>
    <phoneticPr fontId="8"/>
  </si>
  <si>
    <t>↑80％以下
↓90％以下</t>
    <rPh sb="4" eb="6">
      <t>イカ</t>
    </rPh>
    <rPh sb="11" eb="13">
      <t>イカ</t>
    </rPh>
    <phoneticPr fontId="8"/>
  </si>
  <si>
    <t>地域連携</t>
    <rPh sb="0" eb="4">
      <t>チイキレンケイ</t>
    </rPh>
    <phoneticPr fontId="8"/>
  </si>
  <si>
    <t>フラット５０</t>
    <phoneticPr fontId="8"/>
  </si>
  <si>
    <t>ポイント</t>
    <phoneticPr fontId="8"/>
  </si>
  <si>
    <t>以後</t>
    <phoneticPr fontId="8"/>
  </si>
  <si>
    <t>です</t>
    <phoneticPr fontId="8"/>
  </si>
  <si>
    <t>１８歳未満のお子様の人数</t>
    <rPh sb="2" eb="5">
      <t>サイミマン</t>
    </rPh>
    <rPh sb="7" eb="9">
      <t>コサマ</t>
    </rPh>
    <rPh sb="10" eb="12">
      <t>ニンズウ</t>
    </rPh>
    <phoneticPr fontId="8"/>
  </si>
  <si>
    <t>人</t>
    <rPh sb="0" eb="1">
      <t>ニン</t>
    </rPh>
    <phoneticPr fontId="8"/>
  </si>
  <si>
    <t>確定</t>
    <rPh sb="0" eb="2">
      <t>カクテイ</t>
    </rPh>
    <phoneticPr fontId="8"/>
  </si>
  <si>
    <t>正式申込受付はR6.5.1</t>
    <rPh sb="0" eb="6">
      <t>セイシキモウシコミウケツケ</t>
    </rPh>
    <phoneticPr fontId="8"/>
  </si>
  <si>
    <t>以後</t>
  </si>
  <si>
    <t>４０歳未満の若年夫婦に該当</t>
    <rPh sb="2" eb="5">
      <t>サイミマン</t>
    </rPh>
    <rPh sb="6" eb="10">
      <t>ジャクネンフウフ</t>
    </rPh>
    <rPh sb="11" eb="13">
      <t>ガイトウ</t>
    </rPh>
    <phoneticPr fontId="8"/>
  </si>
  <si>
    <t>利用商品</t>
    <rPh sb="0" eb="2">
      <t>リヨウ</t>
    </rPh>
    <rPh sb="2" eb="4">
      <t>ショウヒン</t>
    </rPh>
    <phoneticPr fontId="8"/>
  </si>
  <si>
    <t>団体信用
生命保険</t>
    <rPh sb="0" eb="2">
      <t>ダンタイ</t>
    </rPh>
    <rPh sb="2" eb="4">
      <t>シンヨウ</t>
    </rPh>
    <rPh sb="5" eb="7">
      <t>セイメイ</t>
    </rPh>
    <rPh sb="7" eb="9">
      <t>ホケン</t>
    </rPh>
    <phoneticPr fontId="8"/>
  </si>
  <si>
    <t>加入する</t>
    <rPh sb="0" eb="2">
      <t>カニュウ</t>
    </rPh>
    <phoneticPr fontId="8"/>
  </si>
  <si>
    <t>加入しない</t>
    <rPh sb="0" eb="2">
      <t>カニュウ</t>
    </rPh>
    <phoneticPr fontId="8"/>
  </si>
  <si>
    <t>買取型</t>
  </si>
  <si>
    <t>お一人で加入</t>
    <rPh sb="1" eb="3">
      <t>ヒトリ</t>
    </rPh>
    <rPh sb="4" eb="6">
      <t>カニュウ</t>
    </rPh>
    <phoneticPr fontId="8"/>
  </si>
  <si>
    <r>
      <t>uuu</t>
    </r>
    <r>
      <rPr>
        <b/>
        <sz val="11"/>
        <rFont val="ＭＳ Ｐゴシック"/>
        <family val="3"/>
        <charset val="128"/>
      </rPr>
      <t>計算結果</t>
    </r>
    <rPh sb="3" eb="5">
      <t>ケイサン</t>
    </rPh>
    <rPh sb="5" eb="7">
      <t>ケッカ</t>
    </rPh>
    <phoneticPr fontId="8"/>
  </si>
  <si>
    <r>
      <rPr>
        <sz val="11"/>
        <rFont val="ＭＳ Ｐゴシック"/>
        <family val="3"/>
        <charset val="128"/>
      </rPr>
      <t>◆◆◆　適用金利・審査金利　◆◆◆</t>
    </r>
    <r>
      <rPr>
        <sz val="11"/>
        <rFont val="ＭＳ Ｐゴシック"/>
        <family val="1"/>
        <charset val="2"/>
      </rPr>
      <t/>
    </r>
    <rPh sb="4" eb="6">
      <t>テキヨウ</t>
    </rPh>
    <rPh sb="6" eb="8">
      <t>キンリ</t>
    </rPh>
    <rPh sb="9" eb="11">
      <t>シンサ</t>
    </rPh>
    <rPh sb="11" eb="13">
      <t>キンリ</t>
    </rPh>
    <phoneticPr fontId="8"/>
  </si>
  <si>
    <t>ただし、
審査金利は</t>
    <rPh sb="5" eb="7">
      <t>シンサ</t>
    </rPh>
    <rPh sb="7" eb="9">
      <t>キンリ</t>
    </rPh>
    <phoneticPr fontId="8"/>
  </si>
  <si>
    <r>
      <rPr>
        <sz val="11"/>
        <rFont val="ＭＳ Ｐゴシック"/>
        <family val="3"/>
        <charset val="128"/>
      </rPr>
      <t>◆◆◆　最大借入可能額　◆◆◆</t>
    </r>
    <r>
      <rPr>
        <sz val="11"/>
        <rFont val="ＭＳ Ｐゴシック"/>
        <family val="1"/>
        <charset val="2"/>
      </rPr>
      <t/>
    </r>
    <rPh sb="4" eb="6">
      <t>サイダイ</t>
    </rPh>
    <rPh sb="6" eb="8">
      <t>カリイレ</t>
    </rPh>
    <rPh sb="8" eb="11">
      <t>カノウガク</t>
    </rPh>
    <phoneticPr fontId="8"/>
  </si>
  <si>
    <t>MSJフラット35</t>
    <phoneticPr fontId="8"/>
  </si>
  <si>
    <r>
      <t>MSJフラット35</t>
    </r>
    <r>
      <rPr>
        <sz val="11"/>
        <rFont val="ＭＳ Ｐゴシック"/>
        <family val="3"/>
        <charset val="128"/>
      </rPr>
      <t xml:space="preserve"> </t>
    </r>
    <r>
      <rPr>
        <sz val="11"/>
        <rFont val="ＭＳ Ｐゴシック"/>
        <family val="3"/>
        <charset val="128"/>
      </rPr>
      <t>【MAX】</t>
    </r>
    <phoneticPr fontId="8"/>
  </si>
  <si>
    <t>MSJフラット35　保証型８０％以下</t>
    <rPh sb="10" eb="13">
      <t>ホショウガタ</t>
    </rPh>
    <rPh sb="16" eb="18">
      <t>イカ</t>
    </rPh>
    <phoneticPr fontId="8"/>
  </si>
  <si>
    <t>MSJフラット35　保証型９０％以下</t>
    <rPh sb="10" eb="13">
      <t>ホショウガタ</t>
    </rPh>
    <rPh sb="16" eb="18">
      <t>イカ</t>
    </rPh>
    <phoneticPr fontId="8"/>
  </si>
  <si>
    <t>MSJフラット50</t>
    <phoneticPr fontId="8"/>
  </si>
  <si>
    <t>MSJフラット50で　全額利用</t>
    <rPh sb="11" eb="13">
      <t>ゼンガク</t>
    </rPh>
    <rPh sb="13" eb="15">
      <t>リヨウ</t>
    </rPh>
    <phoneticPr fontId="8"/>
  </si>
  <si>
    <t>不足分はベストミックス</t>
    <rPh sb="0" eb="3">
      <t>フソクブン</t>
    </rPh>
    <phoneticPr fontId="8"/>
  </si>
  <si>
    <t>step.2／資金計画</t>
    <rPh sb="7" eb="9">
      <t>シキン</t>
    </rPh>
    <rPh sb="9" eb="11">
      <t>ケイカク</t>
    </rPh>
    <phoneticPr fontId="8"/>
  </si>
  <si>
    <t>必要資金からMSJフラット35と併せ貸しの借入額を確定します。</t>
    <phoneticPr fontId="8"/>
  </si>
  <si>
    <t>手入力で修正</t>
    <rPh sb="0" eb="1">
      <t>テ</t>
    </rPh>
    <rPh sb="1" eb="3">
      <t>ニュウリョク</t>
    </rPh>
    <rPh sb="4" eb="6">
      <t>シュウセイ</t>
    </rPh>
    <phoneticPr fontId="8"/>
  </si>
  <si>
    <t>必要資金</t>
    <rPh sb="0" eb="2">
      <t>ヒツヨウ</t>
    </rPh>
    <rPh sb="2" eb="4">
      <t>シキン</t>
    </rPh>
    <phoneticPr fontId="8"/>
  </si>
  <si>
    <t>建物価格</t>
    <rPh sb="0" eb="2">
      <t>タテモノ</t>
    </rPh>
    <rPh sb="2" eb="4">
      <t>カカク</t>
    </rPh>
    <phoneticPr fontId="8"/>
  </si>
  <si>
    <t>円</t>
    <rPh sb="0" eb="1">
      <t>エン</t>
    </rPh>
    <phoneticPr fontId="8"/>
  </si>
  <si>
    <t>土地価格</t>
    <rPh sb="0" eb="2">
      <t>トチ</t>
    </rPh>
    <rPh sb="2" eb="4">
      <t>カカク</t>
    </rPh>
    <phoneticPr fontId="8"/>
  </si>
  <si>
    <t>リフォーム・
オプション</t>
    <phoneticPr fontId="8"/>
  </si>
  <si>
    <t>諸費用</t>
    <rPh sb="0" eb="3">
      <t>ショヒヨウ</t>
    </rPh>
    <phoneticPr fontId="8"/>
  </si>
  <si>
    <t>資金計画はこちらへ</t>
    <rPh sb="0" eb="2">
      <t>シキン</t>
    </rPh>
    <rPh sb="2" eb="4">
      <t>ケイカク</t>
    </rPh>
    <phoneticPr fontId="8"/>
  </si>
  <si>
    <t>合計</t>
    <rPh sb="0" eb="2">
      <t>ゴウケイ</t>
    </rPh>
    <phoneticPr fontId="8"/>
  </si>
  <si>
    <t>円</t>
    <rPh sb="0" eb="1">
      <t>マドカ</t>
    </rPh>
    <phoneticPr fontId="8"/>
  </si>
  <si>
    <t>手入力専用
融資割合変更</t>
    <rPh sb="0" eb="1">
      <t>テ</t>
    </rPh>
    <rPh sb="1" eb="3">
      <t>ニュウリョク</t>
    </rPh>
    <rPh sb="3" eb="5">
      <t>センヨウ</t>
    </rPh>
    <rPh sb="6" eb="8">
      <t>ユウシ</t>
    </rPh>
    <rPh sb="8" eb="10">
      <t>ワリアイ</t>
    </rPh>
    <rPh sb="10" eb="12">
      <t>ヘンコウ</t>
    </rPh>
    <phoneticPr fontId="8"/>
  </si>
  <si>
    <t xml:space="preserve">　資金調達    </t>
    <rPh sb="1" eb="3">
      <t>シキン</t>
    </rPh>
    <rPh sb="3" eb="5">
      <t>チョウタツ</t>
    </rPh>
    <phoneticPr fontId="8"/>
  </si>
  <si>
    <t>MSJフラット35　　　　　　　</t>
    <phoneticPr fontId="8"/>
  </si>
  <si>
    <t>借入希望年数</t>
    <rPh sb="0" eb="2">
      <t>カリイレ</t>
    </rPh>
    <rPh sb="2" eb="4">
      <t>キボウ</t>
    </rPh>
    <rPh sb="4" eb="6">
      <t>ネンスウ</t>
    </rPh>
    <phoneticPr fontId="8"/>
  </si>
  <si>
    <t>年</t>
    <rPh sb="0" eb="1">
      <t>ネン</t>
    </rPh>
    <phoneticPr fontId="8"/>
  </si>
  <si>
    <t>借入希望額</t>
    <rPh sb="0" eb="2">
      <t>カリイレ</t>
    </rPh>
    <rPh sb="2" eb="4">
      <t>キボウ</t>
    </rPh>
    <rPh sb="4" eb="5">
      <t>ガク</t>
    </rPh>
    <phoneticPr fontId="8"/>
  </si>
  <si>
    <r>
      <t xml:space="preserve">毎月返済額
</t>
    </r>
    <r>
      <rPr>
        <sz val="11"/>
        <rFont val="ＭＳ Ｐゴシック"/>
        <family val="3"/>
        <charset val="128"/>
      </rPr>
      <t>※Sなしでの金額です</t>
    </r>
    <rPh sb="0" eb="2">
      <t>マイツキ</t>
    </rPh>
    <rPh sb="2" eb="5">
      <t>ヘンサイガク</t>
    </rPh>
    <rPh sb="12" eb="14">
      <t>キンガク</t>
    </rPh>
    <phoneticPr fontId="8"/>
  </si>
  <si>
    <t>ベストミックス手入力</t>
    <phoneticPr fontId="8"/>
  </si>
  <si>
    <t>アプラス手入力</t>
    <rPh sb="4" eb="5">
      <t>テ</t>
    </rPh>
    <rPh sb="5" eb="7">
      <t>ニュウリョク</t>
    </rPh>
    <phoneticPr fontId="8"/>
  </si>
  <si>
    <t>なし</t>
  </si>
  <si>
    <t>　←資金計画に入力があれば、１割分の「ベストミックス」と「アプラス」を入れ替え試算します。</t>
    <rPh sb="2" eb="4">
      <t>シキン</t>
    </rPh>
    <rPh sb="4" eb="6">
      <t>ケイカク</t>
    </rPh>
    <rPh sb="7" eb="9">
      <t>ニュウリョク</t>
    </rPh>
    <rPh sb="15" eb="17">
      <t>ワリブン</t>
    </rPh>
    <rPh sb="35" eb="36">
      <t>イ</t>
    </rPh>
    <rPh sb="37" eb="38">
      <t>カ</t>
    </rPh>
    <rPh sb="39" eb="41">
      <t>シサン</t>
    </rPh>
    <phoneticPr fontId="8"/>
  </si>
  <si>
    <t>アプラスワイド手入力</t>
    <rPh sb="7" eb="8">
      <t>テ</t>
    </rPh>
    <rPh sb="8" eb="10">
      <t>ニュウリョク</t>
    </rPh>
    <phoneticPr fontId="8"/>
  </si>
  <si>
    <t>その他</t>
    <rPh sb="2" eb="3">
      <t>タ</t>
    </rPh>
    <phoneticPr fontId="8"/>
  </si>
  <si>
    <t>自己資金</t>
    <rPh sb="0" eb="2">
      <t>ジコ</t>
    </rPh>
    <rPh sb="2" eb="4">
      <t>シキン</t>
    </rPh>
    <phoneticPr fontId="8"/>
  </si>
  <si>
    <t>注）条件からの借入年数と借入可能額がオーバーしております。再度調整下さい。</t>
    <phoneticPr fontId="8"/>
  </si>
  <si>
    <t>返済比率</t>
    <rPh sb="0" eb="2">
      <t>ヘンサイ</t>
    </rPh>
    <rPh sb="2" eb="4">
      <t>ヒリツ</t>
    </rPh>
    <phoneticPr fontId="8"/>
  </si>
  <si>
    <t>％</t>
    <phoneticPr fontId="8"/>
  </si>
  <si>
    <t>step.3／予定返済額と資金計画</t>
    <rPh sb="7" eb="9">
      <t>ヨテイ</t>
    </rPh>
    <rPh sb="9" eb="11">
      <t>ヘンサイ</t>
    </rPh>
    <rPh sb="11" eb="12">
      <t>ガク</t>
    </rPh>
    <rPh sb="13" eb="15">
      <t>シキン</t>
    </rPh>
    <rPh sb="15" eb="17">
      <t>ケイカク</t>
    </rPh>
    <phoneticPr fontId="8"/>
  </si>
  <si>
    <r>
      <t>uuu</t>
    </r>
    <r>
      <rPr>
        <sz val="11"/>
        <color theme="0"/>
        <rFont val="ＭＳ Ｐゴシック"/>
        <family val="3"/>
        <charset val="128"/>
      </rPr>
      <t>希望返済の詳細を入力頂き、返済予定額を計算致します。</t>
    </r>
    <rPh sb="3" eb="5">
      <t>キボウ</t>
    </rPh>
    <rPh sb="5" eb="7">
      <t>ヘンサイ</t>
    </rPh>
    <rPh sb="8" eb="10">
      <t>ショウサイ</t>
    </rPh>
    <rPh sb="11" eb="13">
      <t>ニュウリョク</t>
    </rPh>
    <rPh sb="13" eb="14">
      <t>イタダ</t>
    </rPh>
    <rPh sb="16" eb="18">
      <t>ヘンサイ</t>
    </rPh>
    <rPh sb="18" eb="20">
      <t>ヨテイ</t>
    </rPh>
    <rPh sb="20" eb="21">
      <t>ガク</t>
    </rPh>
    <rPh sb="22" eb="24">
      <t>ケイサン</t>
    </rPh>
    <rPh sb="24" eb="25">
      <t>イタ</t>
    </rPh>
    <phoneticPr fontId="8"/>
  </si>
  <si>
    <t>フラット35</t>
    <phoneticPr fontId="8"/>
  </si>
  <si>
    <t>ボーナス払い</t>
    <rPh sb="4" eb="5">
      <t>バラ</t>
    </rPh>
    <phoneticPr fontId="8"/>
  </si>
  <si>
    <t>借入金額に占めるボーナス払いの割合を40％までの範囲（1万円単位）でご入力下さい。</t>
    <rPh sb="24" eb="26">
      <t>ハンイ</t>
    </rPh>
    <rPh sb="28" eb="30">
      <t>マンエン</t>
    </rPh>
    <rPh sb="30" eb="32">
      <t>タンイ</t>
    </rPh>
    <rPh sb="37" eb="38">
      <t>クダ</t>
    </rPh>
    <phoneticPr fontId="8"/>
  </si>
  <si>
    <t>ベストミックス</t>
    <phoneticPr fontId="8"/>
  </si>
  <si>
    <t>お取り扱いありません。</t>
    <rPh sb="1" eb="2">
      <t>ト</t>
    </rPh>
    <rPh sb="3" eb="4">
      <t>アツカ</t>
    </rPh>
    <phoneticPr fontId="8"/>
  </si>
  <si>
    <t>アプラス</t>
    <phoneticPr fontId="8"/>
  </si>
  <si>
    <t>借入金額に占めるボーナス払いの割合を50％までの範囲（1万円単位）でご入力下さい。</t>
    <phoneticPr fontId="8"/>
  </si>
  <si>
    <t>アプラスワイド</t>
    <phoneticPr fontId="8"/>
  </si>
  <si>
    <t>適用金利</t>
    <rPh sb="0" eb="2">
      <t>テキヨウ</t>
    </rPh>
    <rPh sb="2" eb="4">
      <t>キンリ</t>
    </rPh>
    <phoneticPr fontId="8"/>
  </si>
  <si>
    <t>毎月</t>
    <rPh sb="0" eb="2">
      <t>マイツキ</t>
    </rPh>
    <phoneticPr fontId="8"/>
  </si>
  <si>
    <t>※Sなしでの金額です</t>
    <rPh sb="6" eb="8">
      <t>キンガク</t>
    </rPh>
    <phoneticPr fontId="8"/>
  </si>
  <si>
    <t>ボーナス加算</t>
    <rPh sb="4" eb="6">
      <t>カサン</t>
    </rPh>
    <phoneticPr fontId="8"/>
  </si>
  <si>
    <t>（ボーナス月は合計</t>
    <rPh sb="5" eb="6">
      <t>ヅキ</t>
    </rPh>
    <rPh sb="7" eb="9">
      <t>ゴウケイ</t>
    </rPh>
    <phoneticPr fontId="8"/>
  </si>
  <si>
    <t>円のお支払いになります）</t>
    <rPh sb="0" eb="1">
      <t>エン</t>
    </rPh>
    <rPh sb="3" eb="5">
      <t>シハラ</t>
    </rPh>
    <phoneticPr fontId="8"/>
  </si>
  <si>
    <t>step.4／つなぎ融資</t>
    <rPh sb="10" eb="12">
      <t>ユウシ</t>
    </rPh>
    <phoneticPr fontId="8"/>
  </si>
  <si>
    <t>立替ローン（つなぎ融資）希望の方は下記の項目をご入力ください。</t>
    <rPh sb="0" eb="2">
      <t>タテカエ</t>
    </rPh>
    <rPh sb="9" eb="11">
      <t>ユウシ</t>
    </rPh>
    <rPh sb="12" eb="14">
      <t>キボウ</t>
    </rPh>
    <rPh sb="15" eb="16">
      <t>カタ</t>
    </rPh>
    <rPh sb="17" eb="19">
      <t>カキ</t>
    </rPh>
    <rPh sb="20" eb="22">
      <t>コウモク</t>
    </rPh>
    <rPh sb="24" eb="26">
      <t>ニュウリョク</t>
    </rPh>
    <phoneticPr fontId="8"/>
  </si>
  <si>
    <t>【注意】立替ローンを利用するには条件がございます。事前に各代理店までお問い合わせください。</t>
    <rPh sb="1" eb="3">
      <t>チュウイ</t>
    </rPh>
    <rPh sb="4" eb="6">
      <t>タテカエ</t>
    </rPh>
    <rPh sb="10" eb="12">
      <t>リヨウ</t>
    </rPh>
    <rPh sb="16" eb="18">
      <t>ジョウケン</t>
    </rPh>
    <rPh sb="25" eb="27">
      <t>ジゼン</t>
    </rPh>
    <rPh sb="28" eb="29">
      <t>カク</t>
    </rPh>
    <rPh sb="29" eb="32">
      <t>ダイリテン</t>
    </rPh>
    <rPh sb="35" eb="36">
      <t>ト</t>
    </rPh>
    <rPh sb="37" eb="38">
      <t>ア</t>
    </rPh>
    <phoneticPr fontId="8"/>
  </si>
  <si>
    <t>※　土地及び建物立替可能金額は、支払済金額及び外構工事費を除きます。</t>
    <rPh sb="4" eb="5">
      <t>オヨ</t>
    </rPh>
    <rPh sb="6" eb="8">
      <t>タテモノ</t>
    </rPh>
    <rPh sb="21" eb="22">
      <t>オヨ</t>
    </rPh>
    <rPh sb="23" eb="24">
      <t>ガイ</t>
    </rPh>
    <rPh sb="24" eb="25">
      <t>コウ</t>
    </rPh>
    <rPh sb="25" eb="28">
      <t>コウジヒ</t>
    </rPh>
    <phoneticPr fontId="8"/>
  </si>
  <si>
    <t>プロパーつなぎ</t>
    <phoneticPr fontId="8"/>
  </si>
  <si>
    <t>フラット実行日</t>
    <rPh sb="4" eb="7">
      <t>ジッコウビ</t>
    </rPh>
    <phoneticPr fontId="8"/>
  </si>
  <si>
    <t>土地
(既存物件)
決済時</t>
    <rPh sb="4" eb="6">
      <t>キゾン</t>
    </rPh>
    <rPh sb="6" eb="8">
      <t>ブッケン</t>
    </rPh>
    <phoneticPr fontId="8"/>
  </si>
  <si>
    <t>必要な場合にはチェックして下さい→</t>
    <phoneticPr fontId="8"/>
  </si>
  <si>
    <t>建物
契約時金</t>
    <rPh sb="0" eb="2">
      <t>タテモノ</t>
    </rPh>
    <rPh sb="3" eb="6">
      <t>ケイヤクジ</t>
    </rPh>
    <rPh sb="6" eb="7">
      <t>キン</t>
    </rPh>
    <phoneticPr fontId="8"/>
  </si>
  <si>
    <t>建物
（着工時）
基礎配筋時</t>
    <rPh sb="0" eb="2">
      <t>タテモノ</t>
    </rPh>
    <rPh sb="4" eb="6">
      <t>チャッコウ</t>
    </rPh>
    <rPh sb="6" eb="7">
      <t>ジ</t>
    </rPh>
    <phoneticPr fontId="8"/>
  </si>
  <si>
    <t>建物
上棟時</t>
    <rPh sb="0" eb="2">
      <t>タテモノ</t>
    </rPh>
    <phoneticPr fontId="8"/>
  </si>
  <si>
    <t>建物
竣工時</t>
    <rPh sb="0" eb="2">
      <t>タテモノ</t>
    </rPh>
    <rPh sb="3" eb="5">
      <t>シュンコウ</t>
    </rPh>
    <rPh sb="5" eb="6">
      <t>ジ</t>
    </rPh>
    <phoneticPr fontId="8"/>
  </si>
  <si>
    <t>つなぎ融資のご利用により、資金計画が変更されました。</t>
    <rPh sb="3" eb="5">
      <t>ユウシ</t>
    </rPh>
    <rPh sb="7" eb="9">
      <t>リヨウ</t>
    </rPh>
    <rPh sb="13" eb="15">
      <t>シキン</t>
    </rPh>
    <rPh sb="15" eb="17">
      <t>ケイカク</t>
    </rPh>
    <rPh sb="18" eb="20">
      <t>ヘンコウ</t>
    </rPh>
    <phoneticPr fontId="8"/>
  </si>
  <si>
    <t>資金計画を確認してください</t>
    <phoneticPr fontId="8"/>
  </si>
  <si>
    <r>
      <rPr>
        <sz val="10"/>
        <color rgb="FFFF0000"/>
        <rFont val="ＭＳ Ｐゴシック"/>
        <family val="3"/>
        <charset val="128"/>
      </rPr>
      <t>アプラス・自己資金</t>
    </r>
    <r>
      <rPr>
        <sz val="10"/>
        <rFont val="ＭＳ Ｐゴシック"/>
        <family val="3"/>
        <charset val="128"/>
      </rPr>
      <t>の金額が変わっています。</t>
    </r>
    <rPh sb="5" eb="7">
      <t>ジコ</t>
    </rPh>
    <rPh sb="7" eb="9">
      <t>シキン</t>
    </rPh>
    <rPh sb="10" eb="12">
      <t>キンガク</t>
    </rPh>
    <rPh sb="13" eb="14">
      <t>カ</t>
    </rPh>
    <phoneticPr fontId="8"/>
  </si>
  <si>
    <r>
      <rPr>
        <sz val="8"/>
        <rFont val="ＭＳ Ｐゴシック"/>
        <family val="3"/>
        <charset val="128"/>
      </rPr>
      <t>◆◆◆</t>
    </r>
    <r>
      <rPr>
        <sz val="11"/>
        <rFont val="ＭＳ Ｐゴシック"/>
        <family val="3"/>
        <charset val="128"/>
      </rPr>
      <t>　予定返済額　</t>
    </r>
    <r>
      <rPr>
        <sz val="8"/>
        <rFont val="ＭＳ Ｐゴシック"/>
        <family val="3"/>
        <charset val="128"/>
      </rPr>
      <t>◆◆◆</t>
    </r>
    <rPh sb="4" eb="6">
      <t>ヨテイ</t>
    </rPh>
    <rPh sb="6" eb="8">
      <t>ヘンサイ</t>
    </rPh>
    <rPh sb="8" eb="9">
      <t>ガク</t>
    </rPh>
    <phoneticPr fontId="8"/>
  </si>
  <si>
    <t>【借入額】</t>
    <rPh sb="1" eb="3">
      <t>カリイレ</t>
    </rPh>
    <rPh sb="3" eb="4">
      <t>ガク</t>
    </rPh>
    <phoneticPr fontId="8"/>
  </si>
  <si>
    <t>毎月返済額</t>
    <rPh sb="0" eb="2">
      <t>マイツキ</t>
    </rPh>
    <rPh sb="2" eb="4">
      <t>ヘンサイ</t>
    </rPh>
    <rPh sb="4" eb="5">
      <t>ガク</t>
    </rPh>
    <phoneticPr fontId="8"/>
  </si>
  <si>
    <t>ボーナス加算額</t>
    <rPh sb="4" eb="7">
      <t>カサンガク</t>
    </rPh>
    <phoneticPr fontId="8"/>
  </si>
  <si>
    <t>【つなぎ融資利息】</t>
    <rPh sb="4" eb="6">
      <t>ユウシ</t>
    </rPh>
    <rPh sb="6" eb="8">
      <t>リソク</t>
    </rPh>
    <phoneticPr fontId="8"/>
  </si>
  <si>
    <t>借入額</t>
    <rPh sb="0" eb="3">
      <t>カリイレガク</t>
    </rPh>
    <phoneticPr fontId="8"/>
  </si>
  <si>
    <t>利息</t>
    <rPh sb="0" eb="2">
      <t>リソク</t>
    </rPh>
    <phoneticPr fontId="8"/>
  </si>
  <si>
    <t>手数料</t>
    <rPh sb="0" eb="3">
      <t>テスウリョウ</t>
    </rPh>
    <phoneticPr fontId="8"/>
  </si>
  <si>
    <r>
      <rPr>
        <sz val="8"/>
        <rFont val="ＭＳ Ｐゴシック"/>
        <family val="3"/>
        <charset val="128"/>
      </rPr>
      <t>◆◆◆</t>
    </r>
    <r>
      <rPr>
        <sz val="11"/>
        <rFont val="ＭＳ Ｐゴシック"/>
        <family val="3"/>
        <charset val="128"/>
      </rPr>
      <t>　概算融資諸経費　</t>
    </r>
    <r>
      <rPr>
        <sz val="8"/>
        <rFont val="ＭＳ Ｐゴシック"/>
        <family val="3"/>
        <charset val="128"/>
      </rPr>
      <t>◆◆◆</t>
    </r>
    <rPh sb="4" eb="6">
      <t>ガイサン</t>
    </rPh>
    <rPh sb="6" eb="8">
      <t>ユウシ</t>
    </rPh>
    <rPh sb="8" eb="11">
      <t>ショケイヒ</t>
    </rPh>
    <phoneticPr fontId="8"/>
  </si>
  <si>
    <t>【計】</t>
    <rPh sb="1" eb="2">
      <t>ケイ</t>
    </rPh>
    <phoneticPr fontId="8"/>
  </si>
  <si>
    <t>融資手数料</t>
    <rPh sb="0" eb="2">
      <t>ユウシ</t>
    </rPh>
    <rPh sb="2" eb="5">
      <t>テスウリョウ</t>
    </rPh>
    <phoneticPr fontId="8"/>
  </si>
  <si>
    <t>計</t>
    <rPh sb="0" eb="1">
      <t>ケイ</t>
    </rPh>
    <phoneticPr fontId="8"/>
  </si>
  <si>
    <t>※上記金額はあくまでも概算ですので、正式な金額と前後する場合がございます。また、上記金額の他に火災保険料、登記料、司法書士報酬、適合証明検査料、印紙代等が別途必要になります。</t>
    <rPh sb="1" eb="3">
      <t>ジョウキ</t>
    </rPh>
    <rPh sb="3" eb="5">
      <t>キンガク</t>
    </rPh>
    <rPh sb="11" eb="13">
      <t>ガイサン</t>
    </rPh>
    <rPh sb="18" eb="20">
      <t>セイシキ</t>
    </rPh>
    <rPh sb="21" eb="23">
      <t>キンガク</t>
    </rPh>
    <rPh sb="24" eb="26">
      <t>ゼンゴ</t>
    </rPh>
    <rPh sb="28" eb="30">
      <t>バアイ</t>
    </rPh>
    <rPh sb="40" eb="42">
      <t>ジョウキ</t>
    </rPh>
    <rPh sb="42" eb="44">
      <t>キンガク</t>
    </rPh>
    <rPh sb="45" eb="46">
      <t>ホカ</t>
    </rPh>
    <rPh sb="47" eb="49">
      <t>カサイ</t>
    </rPh>
    <rPh sb="49" eb="52">
      <t>ホケンリョウ</t>
    </rPh>
    <rPh sb="53" eb="55">
      <t>トウキ</t>
    </rPh>
    <rPh sb="55" eb="56">
      <t>リョウ</t>
    </rPh>
    <rPh sb="57" eb="59">
      <t>シホウ</t>
    </rPh>
    <rPh sb="59" eb="61">
      <t>ショシ</t>
    </rPh>
    <rPh sb="61" eb="63">
      <t>ホウシュウ</t>
    </rPh>
    <rPh sb="64" eb="66">
      <t>テキゴウ</t>
    </rPh>
    <rPh sb="66" eb="68">
      <t>ショウメイ</t>
    </rPh>
    <rPh sb="68" eb="70">
      <t>ケンサ</t>
    </rPh>
    <rPh sb="70" eb="71">
      <t>リョウ</t>
    </rPh>
    <rPh sb="72" eb="74">
      <t>インシ</t>
    </rPh>
    <rPh sb="74" eb="75">
      <t>ダイ</t>
    </rPh>
    <rPh sb="75" eb="76">
      <t>トウ</t>
    </rPh>
    <rPh sb="77" eb="79">
      <t>ベット</t>
    </rPh>
    <rPh sb="79" eb="81">
      <t>ヒツヨウ</t>
    </rPh>
    <phoneticPr fontId="8"/>
  </si>
  <si>
    <t>下記の資金計画の内容で事前審査をお申込下さい。</t>
    <phoneticPr fontId="8"/>
  </si>
  <si>
    <r>
      <rPr>
        <sz val="8"/>
        <rFont val="ＭＳ Ｐゴシック"/>
        <family val="3"/>
        <charset val="128"/>
      </rPr>
      <t>◆◆◆</t>
    </r>
    <r>
      <rPr>
        <sz val="11"/>
        <rFont val="ＭＳ Ｐゴシック"/>
        <family val="3"/>
        <charset val="128"/>
      </rPr>
      <t>　借入計画　</t>
    </r>
    <r>
      <rPr>
        <sz val="8"/>
        <rFont val="ＭＳ Ｐゴシック"/>
        <family val="3"/>
        <charset val="128"/>
      </rPr>
      <t>◆◆◆</t>
    </r>
    <rPh sb="4" eb="6">
      <t>カリイレ</t>
    </rPh>
    <rPh sb="6" eb="8">
      <t>ケイカク</t>
    </rPh>
    <phoneticPr fontId="8"/>
  </si>
  <si>
    <t>（建物）</t>
    <rPh sb="1" eb="3">
      <t>タテモノ</t>
    </rPh>
    <phoneticPr fontId="8"/>
  </si>
  <si>
    <t>（土地）</t>
    <rPh sb="1" eb="3">
      <t>トチ</t>
    </rPh>
    <phoneticPr fontId="8"/>
  </si>
  <si>
    <t>（諸費用）</t>
    <rPh sb="1" eb="4">
      <t>ショヒヨウ</t>
    </rPh>
    <phoneticPr fontId="8"/>
  </si>
  <si>
    <t>（合計）</t>
    <rPh sb="1" eb="3">
      <t>ゴウケイ</t>
    </rPh>
    <phoneticPr fontId="8"/>
  </si>
  <si>
    <t>（年数）</t>
    <rPh sb="1" eb="3">
      <t>ネンスウ</t>
    </rPh>
    <phoneticPr fontId="8"/>
  </si>
  <si>
    <t>注意事項</t>
  </si>
  <si>
    <t>●</t>
    <phoneticPr fontId="8"/>
  </si>
  <si>
    <t>このシミュレーションでは、簡易な方法により各計算を実行させています。そのため、実際の場合と数値が異なる場合があります。</t>
    <phoneticPr fontId="8"/>
  </si>
  <si>
    <r>
      <t>MSJ</t>
    </r>
    <r>
      <rPr>
        <sz val="11"/>
        <rFont val="ＭＳ Ｐゴシック"/>
        <family val="3"/>
        <charset val="128"/>
      </rPr>
      <t>フラット</t>
    </r>
    <r>
      <rPr>
        <sz val="11"/>
        <rFont val="ＭＳ Ｐゴシック"/>
        <family val="3"/>
        <charset val="128"/>
      </rPr>
      <t>シミュレーションで元金均等返済の場合は各期間の第一回目の返済額を表示しています。</t>
    </r>
    <phoneticPr fontId="8"/>
  </si>
  <si>
    <t>このシミュレーションの結果は、融資をお約束するものではありません。</t>
  </si>
  <si>
    <t>実際のローンのお申込みに際しては弊社所定の審査がございます。</t>
  </si>
  <si>
    <t>審査結果によってはご要望に添えない場合がございますので、ご了承ください。</t>
  </si>
  <si>
    <t>直接数値の変更が可能なセルです。適宜変更してください。</t>
    <rPh sb="0" eb="2">
      <t>チョクセツ</t>
    </rPh>
    <rPh sb="2" eb="4">
      <t>スウチ</t>
    </rPh>
    <rPh sb="5" eb="7">
      <t>ヘンコウ</t>
    </rPh>
    <rPh sb="8" eb="10">
      <t>カノウ</t>
    </rPh>
    <rPh sb="16" eb="18">
      <t>テキギ</t>
    </rPh>
    <rPh sb="18" eb="20">
      <t>ヘンコウ</t>
    </rPh>
    <phoneticPr fontId="8"/>
  </si>
  <si>
    <t>入力シートの内容が反映しているセルです。</t>
    <rPh sb="0" eb="2">
      <t>ニュウリョク</t>
    </rPh>
    <rPh sb="6" eb="8">
      <t>ナイヨウ</t>
    </rPh>
    <rPh sb="9" eb="11">
      <t>ハンエイ</t>
    </rPh>
    <phoneticPr fontId="8"/>
  </si>
  <si>
    <t>計算結果が「見えるところへ」参照されています</t>
    <rPh sb="0" eb="2">
      <t>ケイサン</t>
    </rPh>
    <rPh sb="2" eb="4">
      <t>ケッカ</t>
    </rPh>
    <rPh sb="6" eb="7">
      <t>ミ</t>
    </rPh>
    <rPh sb="14" eb="16">
      <t>サンショウ</t>
    </rPh>
    <phoneticPr fontId="8"/>
  </si>
  <si>
    <t>フラット商品基礎データ</t>
    <rPh sb="4" eb="6">
      <t>ショウヒン</t>
    </rPh>
    <rPh sb="6" eb="8">
      <t>キソ</t>
    </rPh>
    <phoneticPr fontId="8"/>
  </si>
  <si>
    <t>保証型　８０％</t>
    <rPh sb="0" eb="3">
      <t>ホショウガタ</t>
    </rPh>
    <phoneticPr fontId="8"/>
  </si>
  <si>
    <t>金利</t>
    <rPh sb="0" eb="2">
      <t>キンリ</t>
    </rPh>
    <phoneticPr fontId="8"/>
  </si>
  <si>
    <t>２０年以下（団信なし）</t>
    <rPh sb="2" eb="5">
      <t>ネンイカ</t>
    </rPh>
    <rPh sb="6" eb="8">
      <t>ダンシン</t>
    </rPh>
    <phoneticPr fontId="8"/>
  </si>
  <si>
    <t>金利引下げ</t>
    <rPh sb="0" eb="4">
      <t>キンリヒキサ</t>
    </rPh>
    <phoneticPr fontId="8"/>
  </si>
  <si>
    <t>２０年超（団信なし）</t>
    <rPh sb="2" eb="4">
      <t>ネンチョウ</t>
    </rPh>
    <rPh sb="5" eb="7">
      <t>ダンシン</t>
    </rPh>
    <phoneticPr fontId="8"/>
  </si>
  <si>
    <t>保証型　９０％</t>
    <rPh sb="0" eb="3">
      <t>ホショウガタ</t>
    </rPh>
    <phoneticPr fontId="8"/>
  </si>
  <si>
    <t>R6.5.1以後</t>
    <rPh sb="6" eb="8">
      <t>イゴ</t>
    </rPh>
    <phoneticPr fontId="8"/>
  </si>
  <si>
    <t>当初</t>
    <rPh sb="0" eb="2">
      <t>トウショ</t>
    </rPh>
    <phoneticPr fontId="8"/>
  </si>
  <si>
    <t>年間</t>
    <rPh sb="0" eb="2">
      <t>ネンカン</t>
    </rPh>
    <phoneticPr fontId="8"/>
  </si>
  <si>
    <t>フラット５０（団信なし）</t>
    <phoneticPr fontId="8"/>
  </si>
  <si>
    <t>R6.5.1以前</t>
    <rPh sb="6" eb="8">
      <t>イゼン</t>
    </rPh>
    <phoneticPr fontId="8"/>
  </si>
  <si>
    <t>金利を</t>
    <rPh sb="0" eb="2">
      <t>キンリ</t>
    </rPh>
    <phoneticPr fontId="8"/>
  </si>
  <si>
    <t>％引下げ</t>
    <rPh sb="1" eb="2">
      <t>ヒ</t>
    </rPh>
    <rPh sb="2" eb="3">
      <t>サ</t>
    </rPh>
    <phoneticPr fontId="8"/>
  </si>
  <si>
    <t>、</t>
    <phoneticPr fontId="8"/>
  </si>
  <si>
    <t>手入力</t>
    <rPh sb="0" eb="1">
      <t>テ</t>
    </rPh>
    <rPh sb="1" eb="3">
      <t>ニュウリョク</t>
    </rPh>
    <phoneticPr fontId="8"/>
  </si>
  <si>
    <t>２０年以下</t>
    <rPh sb="2" eb="5">
      <t>ネンイカ</t>
    </rPh>
    <phoneticPr fontId="8"/>
  </si>
  <si>
    <t>最低手数料</t>
    <rPh sb="0" eb="2">
      <t>サイテイ</t>
    </rPh>
    <rPh sb="2" eb="5">
      <t>テスウリョウ</t>
    </rPh>
    <phoneticPr fontId="8"/>
  </si>
  <si>
    <t>円(税抜)</t>
    <rPh sb="0" eb="1">
      <t>エン</t>
    </rPh>
    <rPh sb="2" eb="3">
      <t>ゼイ</t>
    </rPh>
    <rPh sb="3" eb="4">
      <t>バツ</t>
    </rPh>
    <phoneticPr fontId="8"/>
  </si>
  <si>
    <t>次の</t>
    <rPh sb="0" eb="1">
      <t>ツギ</t>
    </rPh>
    <phoneticPr fontId="8"/>
  </si>
  <si>
    <t>手数料軽減型</t>
    <rPh sb="0" eb="3">
      <t>テスウリョウ</t>
    </rPh>
    <rPh sb="3" eb="5">
      <t>ケイゲン</t>
    </rPh>
    <rPh sb="5" eb="6">
      <t>ガタ</t>
    </rPh>
    <phoneticPr fontId="8"/>
  </si>
  <si>
    <t>団信</t>
    <rPh sb="0" eb="1">
      <t>ダン</t>
    </rPh>
    <rPh sb="1" eb="2">
      <t>シン</t>
    </rPh>
    <phoneticPr fontId="8"/>
  </si>
  <si>
    <t>不加入（旧制度）</t>
    <rPh sb="0" eb="1">
      <t>フ</t>
    </rPh>
    <rPh sb="1" eb="3">
      <t>カニュウ</t>
    </rPh>
    <rPh sb="4" eb="7">
      <t>キュウセイド</t>
    </rPh>
    <phoneticPr fontId="8"/>
  </si>
  <si>
    <t>採用</t>
    <rPh sb="0" eb="2">
      <t>サイヨウ</t>
    </rPh>
    <phoneticPr fontId="8"/>
  </si>
  <si>
    <t>団信　一般</t>
    <rPh sb="0" eb="1">
      <t>ダン</t>
    </rPh>
    <rPh sb="1" eb="2">
      <t>シン</t>
    </rPh>
    <rPh sb="3" eb="5">
      <t>イッパン</t>
    </rPh>
    <phoneticPr fontId="8"/>
  </si>
  <si>
    <t>加算</t>
    <rPh sb="0" eb="2">
      <t>カサン</t>
    </rPh>
    <phoneticPr fontId="8"/>
  </si>
  <si>
    <t>団信　連生</t>
    <rPh sb="0" eb="1">
      <t>ダン</t>
    </rPh>
    <rPh sb="1" eb="2">
      <t>シン</t>
    </rPh>
    <rPh sb="3" eb="4">
      <t>レン</t>
    </rPh>
    <rPh sb="4" eb="5">
      <t>ショウ</t>
    </rPh>
    <phoneticPr fontId="8"/>
  </si>
  <si>
    <t>一般に加算</t>
    <rPh sb="0" eb="2">
      <t>イッパン</t>
    </rPh>
    <rPh sb="3" eb="5">
      <t>カサン</t>
    </rPh>
    <phoneticPr fontId="8"/>
  </si>
  <si>
    <t>団信　３大</t>
    <rPh sb="0" eb="1">
      <t>ダン</t>
    </rPh>
    <rPh sb="1" eb="2">
      <t>シン</t>
    </rPh>
    <rPh sb="4" eb="5">
      <t>ダイ</t>
    </rPh>
    <phoneticPr fontId="8"/>
  </si>
  <si>
    <t>※審査金利は（一般団信加入）</t>
    <rPh sb="1" eb="3">
      <t>シンサ</t>
    </rPh>
    <rPh sb="3" eb="5">
      <t>キンリ</t>
    </rPh>
    <rPh sb="7" eb="9">
      <t>イッパン</t>
    </rPh>
    <rPh sb="9" eb="11">
      <t>ダンシン</t>
    </rPh>
    <rPh sb="11" eb="13">
      <t>カニュウ</t>
    </rPh>
    <phoneticPr fontId="8"/>
  </si>
  <si>
    <t>上乗せ</t>
    <rPh sb="0" eb="2">
      <t>ウワノ</t>
    </rPh>
    <phoneticPr fontId="8"/>
  </si>
  <si>
    <t>元利・元金</t>
    <rPh sb="0" eb="2">
      <t>ガンリ</t>
    </rPh>
    <rPh sb="3" eb="5">
      <t>ガンキン</t>
    </rPh>
    <phoneticPr fontId="8"/>
  </si>
  <si>
    <t>不加入</t>
    <rPh sb="0" eb="3">
      <t>フカニュウ</t>
    </rPh>
    <phoneticPr fontId="8"/>
  </si>
  <si>
    <t>ＭＡＸ</t>
    <phoneticPr fontId="8"/>
  </si>
  <si>
    <t>全疾病</t>
    <rPh sb="0" eb="3">
      <t>ゼンシッペイ</t>
    </rPh>
    <phoneticPr fontId="8"/>
  </si>
  <si>
    <t>利用商品</t>
    <rPh sb="0" eb="4">
      <t>リヨウショウヒン</t>
    </rPh>
    <phoneticPr fontId="8"/>
  </si>
  <si>
    <t>50％がん</t>
    <phoneticPr fontId="8"/>
  </si>
  <si>
    <t>保証型判定</t>
    <rPh sb="0" eb="3">
      <t>ホショウガタ</t>
    </rPh>
    <rPh sb="3" eb="5">
      <t>ハンテイ</t>
    </rPh>
    <phoneticPr fontId="8"/>
  </si>
  <si>
    <t>保証８０％以下</t>
    <rPh sb="0" eb="2">
      <t>ホショウ</t>
    </rPh>
    <rPh sb="5" eb="7">
      <t>イカ</t>
    </rPh>
    <phoneticPr fontId="8"/>
  </si>
  <si>
    <t>100％がん</t>
    <phoneticPr fontId="8"/>
  </si>
  <si>
    <t>下げる</t>
    <rPh sb="0" eb="1">
      <t>サ</t>
    </rPh>
    <phoneticPr fontId="8"/>
  </si>
  <si>
    <t>保証９０％以下</t>
    <rPh sb="0" eb="2">
      <t>ホショウ</t>
    </rPh>
    <phoneticPr fontId="8"/>
  </si>
  <si>
    <t>制度拡充終了時はこの赤枠内を消去した上で「フラット商品基礎データ」内の数値を書き直してください</t>
    <rPh sb="0" eb="2">
      <t>セイド</t>
    </rPh>
    <rPh sb="2" eb="4">
      <t>カクジュウ</t>
    </rPh>
    <rPh sb="4" eb="7">
      <t>シュウリョウジ</t>
    </rPh>
    <rPh sb="10" eb="11">
      <t>アカ</t>
    </rPh>
    <rPh sb="11" eb="12">
      <t>ワク</t>
    </rPh>
    <rPh sb="12" eb="13">
      <t>ナイ</t>
    </rPh>
    <rPh sb="14" eb="16">
      <t>ショウキョ</t>
    </rPh>
    <rPh sb="18" eb="19">
      <t>ウエ</t>
    </rPh>
    <rPh sb="25" eb="27">
      <t>ショウヒン</t>
    </rPh>
    <rPh sb="27" eb="29">
      <t>キソ</t>
    </rPh>
    <rPh sb="33" eb="34">
      <t>ナイ</t>
    </rPh>
    <rPh sb="35" eb="37">
      <t>スウチ</t>
    </rPh>
    <rPh sb="38" eb="39">
      <t>カ</t>
    </rPh>
    <rPh sb="40" eb="41">
      <t>ナオ</t>
    </rPh>
    <phoneticPr fontId="8"/>
  </si>
  <si>
    <t>アプラス商品基礎データ</t>
    <rPh sb="4" eb="6">
      <t>ショウヒン</t>
    </rPh>
    <rPh sb="6" eb="8">
      <t>キソ</t>
    </rPh>
    <phoneticPr fontId="8"/>
  </si>
  <si>
    <t>フラット３５　リノベ</t>
    <phoneticPr fontId="8"/>
  </si>
  <si>
    <t>Ａプラン</t>
    <phoneticPr fontId="8"/>
  </si>
  <si>
    <t>割増利率になる場合は</t>
    <rPh sb="0" eb="2">
      <t>ワリマシ</t>
    </rPh>
    <rPh sb="2" eb="4">
      <t>リリツ</t>
    </rPh>
    <rPh sb="7" eb="9">
      <t>バアイ</t>
    </rPh>
    <phoneticPr fontId="8"/>
  </si>
  <si>
    <t>年超</t>
    <rPh sb="0" eb="2">
      <t>ネンチョウ</t>
    </rPh>
    <phoneticPr fontId="8"/>
  </si>
  <si>
    <t>完済時年齢</t>
    <rPh sb="0" eb="3">
      <t>カンサイジ</t>
    </rPh>
    <rPh sb="3" eb="5">
      <t>ネンレイ</t>
    </rPh>
    <phoneticPr fontId="8"/>
  </si>
  <si>
    <t>割増額</t>
    <rPh sb="0" eb="3">
      <t>ワリマシガク</t>
    </rPh>
    <phoneticPr fontId="8"/>
  </si>
  <si>
    <t>申込時年齢上限</t>
    <rPh sb="0" eb="2">
      <t>モウシコミ</t>
    </rPh>
    <rPh sb="2" eb="3">
      <t>ジ</t>
    </rPh>
    <rPh sb="3" eb="5">
      <t>ネンレイ</t>
    </rPh>
    <rPh sb="5" eb="7">
      <t>ジョウゲン</t>
    </rPh>
    <phoneticPr fontId="8"/>
  </si>
  <si>
    <t>最長期間</t>
    <rPh sb="0" eb="2">
      <t>サイチョウ</t>
    </rPh>
    <rPh sb="2" eb="4">
      <t>キカン</t>
    </rPh>
    <phoneticPr fontId="8"/>
  </si>
  <si>
    <t>Ｂプラン</t>
    <phoneticPr fontId="8"/>
  </si>
  <si>
    <t>団信加入の場合</t>
    <rPh sb="0" eb="1">
      <t>ダン</t>
    </rPh>
    <rPh sb="1" eb="2">
      <t>シン</t>
    </rPh>
    <rPh sb="2" eb="4">
      <t>カニュウ</t>
    </rPh>
    <rPh sb="5" eb="7">
      <t>バアイ</t>
    </rPh>
    <phoneticPr fontId="8"/>
  </si>
  <si>
    <t>万円以上なら</t>
    <rPh sb="0" eb="2">
      <t>マンエン</t>
    </rPh>
    <rPh sb="2" eb="4">
      <t>イジョウ</t>
    </rPh>
    <phoneticPr fontId="8"/>
  </si>
  <si>
    <t>最短期間</t>
    <rPh sb="0" eb="2">
      <t>サイタン</t>
    </rPh>
    <rPh sb="2" eb="4">
      <t>キカン</t>
    </rPh>
    <phoneticPr fontId="8"/>
  </si>
  <si>
    <t>割増</t>
    <rPh sb="0" eb="2">
      <t>ワリマシ</t>
    </rPh>
    <phoneticPr fontId="8"/>
  </si>
  <si>
    <t>借入上限</t>
    <rPh sb="0" eb="2">
      <t>カリイレ</t>
    </rPh>
    <rPh sb="2" eb="4">
      <t>ジョウゲン</t>
    </rPh>
    <phoneticPr fontId="8"/>
  </si>
  <si>
    <t>借入下限</t>
    <rPh sb="0" eb="2">
      <t>カリイレ</t>
    </rPh>
    <rPh sb="2" eb="4">
      <t>カゲン</t>
    </rPh>
    <phoneticPr fontId="8"/>
  </si>
  <si>
    <t>カードを作ると</t>
    <rPh sb="4" eb="5">
      <t>ツク</t>
    </rPh>
    <phoneticPr fontId="8"/>
  </si>
  <si>
    <t>割引</t>
    <rPh sb="0" eb="2">
      <t>ワリビキ</t>
    </rPh>
    <phoneticPr fontId="8"/>
  </si>
  <si>
    <t>顧客データ</t>
    <rPh sb="0" eb="2">
      <t>コキャク</t>
    </rPh>
    <phoneticPr fontId="8"/>
  </si>
  <si>
    <t>最長年数決定</t>
    <rPh sb="0" eb="2">
      <t>サイチョウ</t>
    </rPh>
    <rPh sb="2" eb="4">
      <t>ネンスウ</t>
    </rPh>
    <rPh sb="4" eb="6">
      <t>ケッテイ</t>
    </rPh>
    <phoneticPr fontId="8"/>
  </si>
  <si>
    <t>本人年齢</t>
    <rPh sb="0" eb="2">
      <t>ホンニン</t>
    </rPh>
    <rPh sb="2" eb="4">
      <t>ネンレイ</t>
    </rPh>
    <phoneticPr fontId="8"/>
  </si>
  <si>
    <t>年収・返比</t>
    <rPh sb="0" eb="2">
      <t>ネンシュウ</t>
    </rPh>
    <rPh sb="3" eb="5">
      <t>ヘンピ</t>
    </rPh>
    <phoneticPr fontId="8"/>
  </si>
  <si>
    <t>本人年収</t>
    <rPh sb="0" eb="2">
      <t>ホンニン</t>
    </rPh>
    <rPh sb="2" eb="4">
      <t>ネンシュウ</t>
    </rPh>
    <phoneticPr fontId="8"/>
  </si>
  <si>
    <t>フラット最長（年齢）</t>
    <rPh sb="4" eb="6">
      <t>サイチョウ</t>
    </rPh>
    <rPh sb="7" eb="9">
      <t>ネンレイ</t>
    </rPh>
    <phoneticPr fontId="8"/>
  </si>
  <si>
    <t>連帯債務者合算額</t>
    <rPh sb="0" eb="2">
      <t>レンタイ</t>
    </rPh>
    <rPh sb="2" eb="5">
      <t>サイムシャ</t>
    </rPh>
    <rPh sb="5" eb="8">
      <t>ガッサンガク</t>
    </rPh>
    <phoneticPr fontId="8"/>
  </si>
  <si>
    <t>フラット最短（年齢）</t>
    <rPh sb="4" eb="6">
      <t>サイタン</t>
    </rPh>
    <rPh sb="7" eb="9">
      <t>ネンレイ</t>
    </rPh>
    <phoneticPr fontId="8"/>
  </si>
  <si>
    <t>返済比率上限</t>
    <rPh sb="0" eb="2">
      <t>ヘンサイ</t>
    </rPh>
    <rPh sb="2" eb="4">
      <t>ヒリツ</t>
    </rPh>
    <rPh sb="4" eb="6">
      <t>ジョウゲン</t>
    </rPh>
    <phoneticPr fontId="8"/>
  </si>
  <si>
    <t>親子リレー</t>
    <rPh sb="0" eb="2">
      <t>オヤコ</t>
    </rPh>
    <phoneticPr fontId="8"/>
  </si>
  <si>
    <t>他の借入れ　主連合計</t>
    <rPh sb="0" eb="1">
      <t>タ</t>
    </rPh>
    <rPh sb="2" eb="4">
      <t>カリイ</t>
    </rPh>
    <rPh sb="6" eb="7">
      <t>シュ</t>
    </rPh>
    <rPh sb="7" eb="8">
      <t>レン</t>
    </rPh>
    <rPh sb="8" eb="10">
      <t>ゴウケイ</t>
    </rPh>
    <phoneticPr fontId="8"/>
  </si>
  <si>
    <t>フラット最長（親子リレー）</t>
    <rPh sb="4" eb="6">
      <t>サイチョウ</t>
    </rPh>
    <rPh sb="7" eb="9">
      <t>オヤコ</t>
    </rPh>
    <phoneticPr fontId="8"/>
  </si>
  <si>
    <t>年間返済可能額</t>
    <rPh sb="0" eb="2">
      <t>ネンカン</t>
    </rPh>
    <rPh sb="2" eb="4">
      <t>ヘンサイ</t>
    </rPh>
    <rPh sb="4" eb="6">
      <t>カノウ</t>
    </rPh>
    <rPh sb="6" eb="7">
      <t>ガク</t>
    </rPh>
    <phoneticPr fontId="8"/>
  </si>
  <si>
    <t>C118 周辺を変更しています</t>
    <rPh sb="5" eb="7">
      <t>シュウヘン</t>
    </rPh>
    <rPh sb="8" eb="10">
      <t>ヘンコウ</t>
    </rPh>
    <phoneticPr fontId="8"/>
  </si>
  <si>
    <t>フラット最短（親子リレー）</t>
    <rPh sb="4" eb="6">
      <t>サイタン</t>
    </rPh>
    <rPh sb="7" eb="9">
      <t>オヤコ</t>
    </rPh>
    <phoneticPr fontId="8"/>
  </si>
  <si>
    <t>連帯債務者年齢</t>
    <rPh sb="0" eb="2">
      <t>レンタイ</t>
    </rPh>
    <rPh sb="2" eb="5">
      <t>サイムシャ</t>
    </rPh>
    <rPh sb="5" eb="7">
      <t>ネンレイ</t>
    </rPh>
    <phoneticPr fontId="8"/>
  </si>
  <si>
    <t>合算額を1/2にする</t>
    <rPh sb="0" eb="3">
      <t>ガッサンガク</t>
    </rPh>
    <phoneticPr fontId="8"/>
  </si>
  <si>
    <t>フラット最長（連帯債務者）</t>
    <rPh sb="4" eb="6">
      <t>サイチョウ</t>
    </rPh>
    <rPh sb="7" eb="9">
      <t>レンタイ</t>
    </rPh>
    <rPh sb="9" eb="12">
      <t>サイムシャ</t>
    </rPh>
    <phoneticPr fontId="8"/>
  </si>
  <si>
    <t>フラット最短（連帯債務者）</t>
    <rPh sb="4" eb="6">
      <t>サイタン</t>
    </rPh>
    <rPh sb="7" eb="9">
      <t>レンタイ</t>
    </rPh>
    <rPh sb="9" eb="12">
      <t>サイムシャ</t>
    </rPh>
    <phoneticPr fontId="8"/>
  </si>
  <si>
    <t>本人　フラット５０</t>
    <rPh sb="0" eb="2">
      <t>ホンニン</t>
    </rPh>
    <phoneticPr fontId="8"/>
  </si>
  <si>
    <t>親子　フラット５０</t>
    <rPh sb="0" eb="2">
      <t>オヤコ</t>
    </rPh>
    <phoneticPr fontId="8"/>
  </si>
  <si>
    <t>フラット上限年数</t>
    <rPh sb="4" eb="6">
      <t>ジョウゲン</t>
    </rPh>
    <rPh sb="6" eb="8">
      <t>ネンスウ</t>
    </rPh>
    <phoneticPr fontId="8"/>
  </si>
  <si>
    <t>連帯　フラット５０</t>
    <rPh sb="0" eb="2">
      <t>レンタイ</t>
    </rPh>
    <phoneticPr fontId="8"/>
  </si>
  <si>
    <t>フラット下限年数</t>
    <rPh sb="4" eb="6">
      <t>カゲン</t>
    </rPh>
    <rPh sb="6" eb="8">
      <t>ネンスウ</t>
    </rPh>
    <phoneticPr fontId="8"/>
  </si>
  <si>
    <t>フラット５０　上限</t>
    <rPh sb="7" eb="9">
      <t>ジョウゲン</t>
    </rPh>
    <phoneticPr fontId="8"/>
  </si>
  <si>
    <t>フラット最大借入額</t>
    <rPh sb="4" eb="6">
      <t>サイダイ</t>
    </rPh>
    <rPh sb="6" eb="9">
      <t>カリイレガク</t>
    </rPh>
    <phoneticPr fontId="8"/>
  </si>
  <si>
    <t>上限年数</t>
    <rPh sb="0" eb="2">
      <t>ジョウゲン</t>
    </rPh>
    <rPh sb="2" eb="4">
      <t>ネンスウ</t>
    </rPh>
    <phoneticPr fontId="8"/>
  </si>
  <si>
    <t>元利均等</t>
    <rPh sb="0" eb="2">
      <t>ガンリ</t>
    </rPh>
    <rPh sb="2" eb="4">
      <t>キントウ</t>
    </rPh>
    <phoneticPr fontId="8"/>
  </si>
  <si>
    <t>１００万円係数</t>
    <rPh sb="3" eb="5">
      <t>マンエン</t>
    </rPh>
    <rPh sb="5" eb="7">
      <t>ケイスウ</t>
    </rPh>
    <phoneticPr fontId="8"/>
  </si>
  <si>
    <t>元金均等</t>
    <rPh sb="0" eb="2">
      <t>ガンキン</t>
    </rPh>
    <rPh sb="2" eb="4">
      <t>キントウ</t>
    </rPh>
    <phoneticPr fontId="8"/>
  </si>
  <si>
    <t>１００万円係数</t>
    <rPh sb="3" eb="4">
      <t>マン</t>
    </rPh>
    <rPh sb="4" eb="5">
      <t>エン</t>
    </rPh>
    <rPh sb="5" eb="7">
      <t>ケイスウ</t>
    </rPh>
    <phoneticPr fontId="8"/>
  </si>
  <si>
    <t>借入可能額</t>
    <rPh sb="0" eb="2">
      <t>カリイレ</t>
    </rPh>
    <rPh sb="2" eb="5">
      <t>カノウガク</t>
    </rPh>
    <phoneticPr fontId="8"/>
  </si>
  <si>
    <t>フラット５０　上限年数</t>
    <rPh sb="7" eb="11">
      <t>ジョウゲンネンスウ</t>
    </rPh>
    <phoneticPr fontId="8"/>
  </si>
  <si>
    <t>１００万円係数　ＭＡＸ</t>
    <rPh sb="3" eb="5">
      <t>マンエン</t>
    </rPh>
    <rPh sb="5" eb="7">
      <t>ケイスウ</t>
    </rPh>
    <phoneticPr fontId="8"/>
  </si>
  <si>
    <t>１００万円係数　保証８０</t>
    <rPh sb="3" eb="5">
      <t>マンエン</t>
    </rPh>
    <rPh sb="5" eb="7">
      <t>ケイスウ</t>
    </rPh>
    <rPh sb="8" eb="10">
      <t>ホショウ</t>
    </rPh>
    <phoneticPr fontId="8"/>
  </si>
  <si>
    <t>借入可能額　　利50　全額BM</t>
    <rPh sb="0" eb="2">
      <t>カリイレ</t>
    </rPh>
    <rPh sb="2" eb="5">
      <t>カノウガク</t>
    </rPh>
    <rPh sb="7" eb="8">
      <t>リ</t>
    </rPh>
    <phoneticPr fontId="8"/>
  </si>
  <si>
    <t>１００万円係数　保証９０</t>
    <rPh sb="3" eb="5">
      <t>マンエン</t>
    </rPh>
    <rPh sb="5" eb="7">
      <t>ケイスウ</t>
    </rPh>
    <rPh sb="8" eb="10">
      <t>ホショウ</t>
    </rPh>
    <phoneticPr fontId="8"/>
  </si>
  <si>
    <t>借入可能額　　金50　全額BM</t>
    <rPh sb="0" eb="2">
      <t>カリイレ</t>
    </rPh>
    <rPh sb="2" eb="5">
      <t>カノウガク</t>
    </rPh>
    <rPh sb="7" eb="8">
      <t>キン</t>
    </rPh>
    <phoneticPr fontId="8"/>
  </si>
  <si>
    <t>１００万円係数　５０</t>
    <rPh sb="3" eb="5">
      <t>マンエン</t>
    </rPh>
    <rPh sb="5" eb="7">
      <t>ケイスウ</t>
    </rPh>
    <phoneticPr fontId="8"/>
  </si>
  <si>
    <t>１００万円係数　５０　全額</t>
    <rPh sb="3" eb="5">
      <t>マンエン</t>
    </rPh>
    <rPh sb="5" eb="7">
      <t>ケイスウ</t>
    </rPh>
    <rPh sb="11" eb="13">
      <t>ゼンガク</t>
    </rPh>
    <phoneticPr fontId="8"/>
  </si>
  <si>
    <t>１００万円係数　５０　MAX</t>
    <rPh sb="3" eb="5">
      <t>マンエン</t>
    </rPh>
    <rPh sb="5" eb="7">
      <t>ケイスウ</t>
    </rPh>
    <phoneticPr fontId="8"/>
  </si>
  <si>
    <t>試算プラン</t>
    <rPh sb="0" eb="2">
      <t>シサン</t>
    </rPh>
    <phoneticPr fontId="8"/>
  </si>
  <si>
    <t>希望金額</t>
    <rPh sb="0" eb="2">
      <t>キボウ</t>
    </rPh>
    <rPh sb="2" eb="4">
      <t>キンガク</t>
    </rPh>
    <phoneticPr fontId="8"/>
  </si>
  <si>
    <t>アプラス希望期間</t>
    <rPh sb="4" eb="6">
      <t>キボウ</t>
    </rPh>
    <rPh sb="6" eb="8">
      <t>キカン</t>
    </rPh>
    <phoneticPr fontId="8"/>
  </si>
  <si>
    <t>標準型</t>
    <rPh sb="0" eb="3">
      <t>ヒョウジュンガタ</t>
    </rPh>
    <phoneticPr fontId="8"/>
  </si>
  <si>
    <t>アプラス希望金額</t>
    <rPh sb="4" eb="6">
      <t>キボウ</t>
    </rPh>
    <rPh sb="6" eb="8">
      <t>キンガク</t>
    </rPh>
    <phoneticPr fontId="8"/>
  </si>
  <si>
    <t>９割、１０割</t>
    <rPh sb="1" eb="2">
      <t>ワリ</t>
    </rPh>
    <rPh sb="5" eb="6">
      <t>ワリ</t>
    </rPh>
    <phoneticPr fontId="8"/>
  </si>
  <si>
    <t>毎月の支払額</t>
    <rPh sb="0" eb="2">
      <t>マイツキ</t>
    </rPh>
    <rPh sb="3" eb="6">
      <t>シハライガク</t>
    </rPh>
    <phoneticPr fontId="8"/>
  </si>
  <si>
    <t>入力シートからの変更</t>
    <rPh sb="0" eb="2">
      <t>ニュウリョク</t>
    </rPh>
    <rPh sb="8" eb="10">
      <t>ヘンコウ</t>
    </rPh>
    <phoneticPr fontId="8"/>
  </si>
  <si>
    <t>初回の支払額（元金均等）</t>
    <rPh sb="0" eb="2">
      <t>ショカイ</t>
    </rPh>
    <rPh sb="3" eb="6">
      <t>シハライガク</t>
    </rPh>
    <rPh sb="7" eb="9">
      <t>ガンキン</t>
    </rPh>
    <rPh sb="9" eb="11">
      <t>キントウ</t>
    </rPh>
    <phoneticPr fontId="8"/>
  </si>
  <si>
    <t>返比計算</t>
    <rPh sb="0" eb="2">
      <t>ヘンピ</t>
    </rPh>
    <rPh sb="2" eb="4">
      <t>ケイサン</t>
    </rPh>
    <phoneticPr fontId="8"/>
  </si>
  <si>
    <t>アプラスに回せる分返済資金</t>
    <rPh sb="5" eb="6">
      <t>マワ</t>
    </rPh>
    <rPh sb="8" eb="9">
      <t>ブン</t>
    </rPh>
    <rPh sb="9" eb="11">
      <t>ヘンサイ</t>
    </rPh>
    <rPh sb="11" eb="13">
      <t>シキン</t>
    </rPh>
    <phoneticPr fontId="8"/>
  </si>
  <si>
    <t>融資割合</t>
    <rPh sb="0" eb="2">
      <t>ユウシ</t>
    </rPh>
    <rPh sb="2" eb="4">
      <t>ワリアイ</t>
    </rPh>
    <phoneticPr fontId="8"/>
  </si>
  <si>
    <t>フラット返済額</t>
    <rPh sb="4" eb="7">
      <t>ヘンサイガク</t>
    </rPh>
    <phoneticPr fontId="8"/>
  </si>
  <si>
    <t>アプラス係数</t>
    <rPh sb="4" eb="6">
      <t>ケイスウ</t>
    </rPh>
    <phoneticPr fontId="8"/>
  </si>
  <si>
    <t>希望期間</t>
    <rPh sb="0" eb="2">
      <t>キボウ</t>
    </rPh>
    <rPh sb="2" eb="4">
      <t>キカン</t>
    </rPh>
    <phoneticPr fontId="8"/>
  </si>
  <si>
    <t>ところで諸費用＋１割</t>
    <rPh sb="4" eb="7">
      <t>ショヒヨウ</t>
    </rPh>
    <rPh sb="9" eb="10">
      <t>ワリ</t>
    </rPh>
    <phoneticPr fontId="8"/>
  </si>
  <si>
    <t>元利</t>
    <rPh sb="0" eb="2">
      <t>ガンリ</t>
    </rPh>
    <phoneticPr fontId="8"/>
  </si>
  <si>
    <t>アプラス上限</t>
    <rPh sb="4" eb="6">
      <t>ジョウゲン</t>
    </rPh>
    <phoneticPr fontId="8"/>
  </si>
  <si>
    <t>金利　利用年数 買保</t>
    <rPh sb="0" eb="2">
      <t>キンリ</t>
    </rPh>
    <rPh sb="3" eb="5">
      <t>リヨウ</t>
    </rPh>
    <rPh sb="5" eb="7">
      <t>ネンスウ</t>
    </rPh>
    <rPh sb="8" eb="9">
      <t>バイ</t>
    </rPh>
    <rPh sb="9" eb="10">
      <t>ホ</t>
    </rPh>
    <phoneticPr fontId="8"/>
  </si>
  <si>
    <t>フラット最大額</t>
    <rPh sb="4" eb="7">
      <t>サイダイガク</t>
    </rPh>
    <phoneticPr fontId="8"/>
  </si>
  <si>
    <t>金利　軽減型</t>
    <rPh sb="0" eb="2">
      <t>キンリ</t>
    </rPh>
    <rPh sb="3" eb="5">
      <t>ケイゲン</t>
    </rPh>
    <rPh sb="5" eb="6">
      <t>ガタ</t>
    </rPh>
    <phoneticPr fontId="8"/>
  </si>
  <si>
    <t>元金</t>
    <rPh sb="0" eb="2">
      <t>ガンキン</t>
    </rPh>
    <phoneticPr fontId="8"/>
  </si>
  <si>
    <t>１００万円係数（元金均等）</t>
    <rPh sb="3" eb="5">
      <t>マンエン</t>
    </rPh>
    <rPh sb="5" eb="7">
      <t>ケイスウ</t>
    </rPh>
    <rPh sb="8" eb="10">
      <t>ガンキン</t>
    </rPh>
    <rPh sb="10" eb="12">
      <t>キントウ</t>
    </rPh>
    <phoneticPr fontId="8"/>
  </si>
  <si>
    <t>返済額　フラット</t>
    <rPh sb="0" eb="2">
      <t>ヘンサイ</t>
    </rPh>
    <rPh sb="2" eb="3">
      <t>ガク</t>
    </rPh>
    <phoneticPr fontId="8"/>
  </si>
  <si>
    <t>金利　ＭＡＸ</t>
    <rPh sb="0" eb="2">
      <t>キンリ</t>
    </rPh>
    <phoneticPr fontId="8"/>
  </si>
  <si>
    <t>フラット最大額（元金均等）</t>
    <rPh sb="4" eb="7">
      <t>サイダイガク</t>
    </rPh>
    <rPh sb="8" eb="10">
      <t>ガンキン</t>
    </rPh>
    <rPh sb="10" eb="12">
      <t>キントウ</t>
    </rPh>
    <phoneticPr fontId="8"/>
  </si>
  <si>
    <t>返済額　アプラス</t>
    <rPh sb="0" eb="2">
      <t>ヘンサイ</t>
    </rPh>
    <rPh sb="2" eb="3">
      <t>ガク</t>
    </rPh>
    <phoneticPr fontId="8"/>
  </si>
  <si>
    <t>保証型　種別</t>
    <rPh sb="0" eb="3">
      <t>ホショウガタ</t>
    </rPh>
    <rPh sb="4" eb="6">
      <t>シュベツ</t>
    </rPh>
    <phoneticPr fontId="8"/>
  </si>
  <si>
    <t>フラット限度額の表示</t>
    <rPh sb="4" eb="7">
      <t>ゲンドガク</t>
    </rPh>
    <rPh sb="8" eb="10">
      <t>ヒョウジ</t>
    </rPh>
    <phoneticPr fontId="8"/>
  </si>
  <si>
    <t>返済額　ベストミックス</t>
    <rPh sb="0" eb="2">
      <t>ヘンサイ</t>
    </rPh>
    <rPh sb="2" eb="3">
      <t>ガク</t>
    </rPh>
    <phoneticPr fontId="8"/>
  </si>
  <si>
    <t>審査金利</t>
    <rPh sb="0" eb="2">
      <t>シンサ</t>
    </rPh>
    <rPh sb="2" eb="4">
      <t>キンリ</t>
    </rPh>
    <phoneticPr fontId="8"/>
  </si>
  <si>
    <t>返済額　アプラスワイド</t>
    <rPh sb="0" eb="2">
      <t>ヘンサイ</t>
    </rPh>
    <rPh sb="2" eb="3">
      <t>ガク</t>
    </rPh>
    <phoneticPr fontId="8"/>
  </si>
  <si>
    <t>利用金利</t>
    <rPh sb="0" eb="2">
      <t>リヨウ</t>
    </rPh>
    <rPh sb="2" eb="4">
      <t>キンリ</t>
    </rPh>
    <phoneticPr fontId="8"/>
  </si>
  <si>
    <t>資金計画欄</t>
    <rPh sb="0" eb="2">
      <t>シキン</t>
    </rPh>
    <rPh sb="2" eb="4">
      <t>ケイカク</t>
    </rPh>
    <rPh sb="4" eb="5">
      <t>ラン</t>
    </rPh>
    <phoneticPr fontId="8"/>
  </si>
  <si>
    <t>加入不加入</t>
    <rPh sb="0" eb="5">
      <t>カニュウフカニュウ</t>
    </rPh>
    <phoneticPr fontId="8"/>
  </si>
  <si>
    <t>一般かどうか</t>
    <rPh sb="0" eb="2">
      <t>イッパン</t>
    </rPh>
    <phoneticPr fontId="8"/>
  </si>
  <si>
    <t>デュエットかどうか</t>
    <phoneticPr fontId="8"/>
  </si>
  <si>
    <t>記入する建物金額</t>
    <rPh sb="0" eb="2">
      <t>キニュウ</t>
    </rPh>
    <rPh sb="4" eb="6">
      <t>タテモノ</t>
    </rPh>
    <rPh sb="6" eb="8">
      <t>キンガク</t>
    </rPh>
    <phoneticPr fontId="8"/>
  </si>
  <si>
    <t>記入する土地金額</t>
    <rPh sb="0" eb="2">
      <t>キニュウ</t>
    </rPh>
    <rPh sb="4" eb="6">
      <t>トチ</t>
    </rPh>
    <rPh sb="6" eb="8">
      <t>キンガク</t>
    </rPh>
    <phoneticPr fontId="8"/>
  </si>
  <si>
    <t>団信加入加入するか</t>
    <rPh sb="0" eb="4">
      <t>ダンシンカニュウ</t>
    </rPh>
    <rPh sb="4" eb="6">
      <t>カニュウ</t>
    </rPh>
    <phoneticPr fontId="8"/>
  </si>
  <si>
    <t>金利算出</t>
    <rPh sb="0" eb="4">
      <t>キンリサンシュツ</t>
    </rPh>
    <phoneticPr fontId="8"/>
  </si>
  <si>
    <t>B</t>
    <phoneticPr fontId="8"/>
  </si>
  <si>
    <t>買取　デュエット</t>
    <rPh sb="0" eb="2">
      <t>カイトリ</t>
    </rPh>
    <phoneticPr fontId="8"/>
  </si>
  <si>
    <t>アプラス１割分</t>
    <rPh sb="5" eb="6">
      <t>ワリ</t>
    </rPh>
    <rPh sb="6" eb="7">
      <t>ブン</t>
    </rPh>
    <phoneticPr fontId="8"/>
  </si>
  <si>
    <t>買取　３大疾病</t>
    <rPh sb="0" eb="2">
      <t>カイトリ</t>
    </rPh>
    <rPh sb="4" eb="7">
      <t>ダイシッペイ</t>
    </rPh>
    <phoneticPr fontId="8"/>
  </si>
  <si>
    <t>アプラス諸費用</t>
    <rPh sb="4" eb="7">
      <t>ショヒヨウ</t>
    </rPh>
    <phoneticPr fontId="8"/>
  </si>
  <si>
    <t>保証　全疾病</t>
    <rPh sb="0" eb="2">
      <t>ホショウ</t>
    </rPh>
    <rPh sb="3" eb="6">
      <t>ゼンシッペイ</t>
    </rPh>
    <phoneticPr fontId="8"/>
  </si>
  <si>
    <t>保証　５０％ガン</t>
    <rPh sb="0" eb="2">
      <t>ホショウ</t>
    </rPh>
    <phoneticPr fontId="8"/>
  </si>
  <si>
    <t>保証　１００％ガン</t>
    <rPh sb="0" eb="2">
      <t>ホショウ</t>
    </rPh>
    <phoneticPr fontId="8"/>
  </si>
  <si>
    <t>上乗せ金利　特約料</t>
    <rPh sb="0" eb="2">
      <t>ウワノ</t>
    </rPh>
    <rPh sb="3" eb="5">
      <t>キンリ</t>
    </rPh>
    <rPh sb="6" eb="8">
      <t>トクヤク</t>
    </rPh>
    <rPh sb="8" eb="9">
      <t>リョウ</t>
    </rPh>
    <phoneticPr fontId="8"/>
  </si>
  <si>
    <t>フラット決定</t>
    <rPh sb="4" eb="6">
      <t>ケッテイ</t>
    </rPh>
    <phoneticPr fontId="8"/>
  </si>
  <si>
    <t>フラット毎月</t>
    <rPh sb="4" eb="6">
      <t>マイツキ</t>
    </rPh>
    <phoneticPr fontId="8"/>
  </si>
  <si>
    <t>フラット毎月金額</t>
    <rPh sb="4" eb="6">
      <t>マイツキ</t>
    </rPh>
    <rPh sb="6" eb="8">
      <t>キンガク</t>
    </rPh>
    <phoneticPr fontId="8"/>
  </si>
  <si>
    <t>切り替わり残高（元利）</t>
    <rPh sb="0" eb="1">
      <t>キ</t>
    </rPh>
    <rPh sb="2" eb="3">
      <t>カ</t>
    </rPh>
    <rPh sb="5" eb="7">
      <t>ザンダカ</t>
    </rPh>
    <rPh sb="8" eb="10">
      <t>ガンリ</t>
    </rPh>
    <phoneticPr fontId="8"/>
  </si>
  <si>
    <t>切り替わり残高</t>
    <rPh sb="0" eb="1">
      <t>キ</t>
    </rPh>
    <rPh sb="2" eb="3">
      <t>カ</t>
    </rPh>
    <rPh sb="5" eb="7">
      <t>ザンダカ</t>
    </rPh>
    <phoneticPr fontId="8"/>
  </si>
  <si>
    <t>フラットボーナス払い</t>
    <rPh sb="8" eb="9">
      <t>バラ</t>
    </rPh>
    <phoneticPr fontId="8"/>
  </si>
  <si>
    <t>ボーナス払い金額</t>
    <rPh sb="4" eb="5">
      <t>バラ</t>
    </rPh>
    <rPh sb="6" eb="8">
      <t>キンガク</t>
    </rPh>
    <phoneticPr fontId="8"/>
  </si>
  <si>
    <t>フラットボーナス後半</t>
    <rPh sb="8" eb="10">
      <t>コウハン</t>
    </rPh>
    <phoneticPr fontId="8"/>
  </si>
  <si>
    <t>切替り後第１回目（元金均等）</t>
    <rPh sb="0" eb="1">
      <t>キ</t>
    </rPh>
    <rPh sb="1" eb="2">
      <t>カ</t>
    </rPh>
    <rPh sb="3" eb="4">
      <t>ゴ</t>
    </rPh>
    <rPh sb="4" eb="5">
      <t>ダイ</t>
    </rPh>
    <rPh sb="6" eb="8">
      <t>カイメ</t>
    </rPh>
    <rPh sb="9" eb="11">
      <t>ガンキン</t>
    </rPh>
    <rPh sb="11" eb="13">
      <t>キントウ</t>
    </rPh>
    <phoneticPr fontId="8"/>
  </si>
  <si>
    <t>ボーナス後半（元金均等）</t>
    <rPh sb="4" eb="6">
      <t>コウハン</t>
    </rPh>
    <rPh sb="7" eb="9">
      <t>ガンキン</t>
    </rPh>
    <rPh sb="9" eb="11">
      <t>キントウ</t>
    </rPh>
    <phoneticPr fontId="8"/>
  </si>
  <si>
    <t>表示</t>
    <rPh sb="0" eb="2">
      <t>ヒョウジ</t>
    </rPh>
    <phoneticPr fontId="8"/>
  </si>
  <si>
    <t>つまり</t>
    <phoneticPr fontId="8"/>
  </si>
  <si>
    <t>年目から</t>
    <rPh sb="0" eb="2">
      <t>ネンメ</t>
    </rPh>
    <phoneticPr fontId="8"/>
  </si>
  <si>
    <t>すなわち</t>
    <phoneticPr fontId="8"/>
  </si>
  <si>
    <t>フラット初回（元金均等）</t>
    <rPh sb="4" eb="6">
      <t>ショカイ</t>
    </rPh>
    <rPh sb="7" eb="9">
      <t>ガンキン</t>
    </rPh>
    <rPh sb="9" eb="11">
      <t>キントウ</t>
    </rPh>
    <phoneticPr fontId="8"/>
  </si>
  <si>
    <t>手数料　2.1％</t>
    <rPh sb="0" eb="3">
      <t>テスウリョウ</t>
    </rPh>
    <phoneticPr fontId="8"/>
  </si>
  <si>
    <t>フラットボーナス前半</t>
    <rPh sb="8" eb="10">
      <t>ゼンハン</t>
    </rPh>
    <phoneticPr fontId="8"/>
  </si>
  <si>
    <t>フラット確定手数料</t>
    <rPh sb="4" eb="6">
      <t>カクテイ</t>
    </rPh>
    <rPh sb="6" eb="9">
      <t>テスウリョウ</t>
    </rPh>
    <phoneticPr fontId="8"/>
  </si>
  <si>
    <t>ボーナス前半（元金均等）</t>
    <rPh sb="4" eb="6">
      <t>ゼンハン</t>
    </rPh>
    <rPh sb="7" eb="9">
      <t>ガンキン</t>
    </rPh>
    <rPh sb="9" eb="11">
      <t>キントウ</t>
    </rPh>
    <phoneticPr fontId="8"/>
  </si>
  <si>
    <t>元金均等償還表</t>
    <rPh sb="0" eb="2">
      <t>ガンキン</t>
    </rPh>
    <rPh sb="2" eb="4">
      <t>キントウ</t>
    </rPh>
    <rPh sb="4" eb="6">
      <t>ショウカン</t>
    </rPh>
    <rPh sb="6" eb="7">
      <t>ヒョウ</t>
    </rPh>
    <phoneticPr fontId="8"/>
  </si>
  <si>
    <t>６１回目</t>
    <rPh sb="2" eb="4">
      <t>カイメ</t>
    </rPh>
    <phoneticPr fontId="8"/>
  </si>
  <si>
    <t>１２１回目</t>
    <rPh sb="3" eb="5">
      <t>カイメ</t>
    </rPh>
    <phoneticPr fontId="8"/>
  </si>
  <si>
    <t>ボ　　１１回目</t>
    <rPh sb="5" eb="7">
      <t>カイメ</t>
    </rPh>
    <phoneticPr fontId="8"/>
  </si>
  <si>
    <t>ボ　　２１回目</t>
    <rPh sb="5" eb="7">
      <t>カイメ</t>
    </rPh>
    <phoneticPr fontId="8"/>
  </si>
  <si>
    <t>アプラス決定</t>
    <rPh sb="4" eb="6">
      <t>ケッテイ</t>
    </rPh>
    <phoneticPr fontId="8"/>
  </si>
  <si>
    <t>アプラス毎月</t>
    <rPh sb="4" eb="6">
      <t>マイツキ</t>
    </rPh>
    <phoneticPr fontId="8"/>
  </si>
  <si>
    <t>一番若い申込人</t>
    <rPh sb="0" eb="2">
      <t>イチバン</t>
    </rPh>
    <rPh sb="2" eb="3">
      <t>ワカ</t>
    </rPh>
    <rPh sb="4" eb="7">
      <t>モウシコミニン</t>
    </rPh>
    <phoneticPr fontId="8"/>
  </si>
  <si>
    <t>希望年数</t>
    <rPh sb="0" eb="2">
      <t>キボウ</t>
    </rPh>
    <rPh sb="2" eb="4">
      <t>ネンスウ</t>
    </rPh>
    <phoneticPr fontId="8"/>
  </si>
  <si>
    <t>アプラス毎月金額</t>
    <rPh sb="4" eb="6">
      <t>マイツキ</t>
    </rPh>
    <rPh sb="6" eb="8">
      <t>キンガク</t>
    </rPh>
    <phoneticPr fontId="8"/>
  </si>
  <si>
    <t>割増利率</t>
    <rPh sb="0" eb="2">
      <t>ワリマシ</t>
    </rPh>
    <rPh sb="2" eb="4">
      <t>リリツ</t>
    </rPh>
    <phoneticPr fontId="8"/>
  </si>
  <si>
    <t>アプラスボーナス払い</t>
    <rPh sb="8" eb="9">
      <t>バラ</t>
    </rPh>
    <phoneticPr fontId="8"/>
  </si>
  <si>
    <t>アプラス最長</t>
    <rPh sb="4" eb="6">
      <t>サイチョウ</t>
    </rPh>
    <phoneticPr fontId="8"/>
  </si>
  <si>
    <t>団信割増</t>
    <rPh sb="0" eb="1">
      <t>ダン</t>
    </rPh>
    <rPh sb="1" eb="2">
      <t>シン</t>
    </rPh>
    <rPh sb="2" eb="4">
      <t>ワリマシ</t>
    </rPh>
    <phoneticPr fontId="8"/>
  </si>
  <si>
    <t>カード割引</t>
    <rPh sb="3" eb="5">
      <t>ワリビキ</t>
    </rPh>
    <phoneticPr fontId="8"/>
  </si>
  <si>
    <t>希望プラン</t>
    <rPh sb="0" eb="2">
      <t>キボウ</t>
    </rPh>
    <phoneticPr fontId="8"/>
  </si>
  <si>
    <t>適用利率</t>
    <rPh sb="0" eb="2">
      <t>テキヨウ</t>
    </rPh>
    <rPh sb="2" eb="4">
      <t>リリツ</t>
    </rPh>
    <phoneticPr fontId="8"/>
  </si>
  <si>
    <t>カード</t>
    <phoneticPr fontId="8"/>
  </si>
  <si>
    <t>適用手数料</t>
    <rPh sb="0" eb="2">
      <t>テキヨウ</t>
    </rPh>
    <rPh sb="2" eb="5">
      <t>テスウリョウ</t>
    </rPh>
    <phoneticPr fontId="8"/>
  </si>
  <si>
    <t>土地つなぎ</t>
    <rPh sb="0" eb="2">
      <t>トチ</t>
    </rPh>
    <phoneticPr fontId="8"/>
  </si>
  <si>
    <t>上棟時</t>
    <rPh sb="0" eb="2">
      <t>ジョウトウ</t>
    </rPh>
    <rPh sb="2" eb="3">
      <t>ジ</t>
    </rPh>
    <phoneticPr fontId="8"/>
  </si>
  <si>
    <t>円(税抜)</t>
    <rPh sb="0" eb="1">
      <t>エン</t>
    </rPh>
    <rPh sb="2" eb="3">
      <t>ゼイ</t>
    </rPh>
    <rPh sb="3" eb="4">
      <t>ヌ</t>
    </rPh>
    <phoneticPr fontId="8"/>
  </si>
  <si>
    <t>　　土地最大利用額</t>
    <rPh sb="2" eb="4">
      <t>トチ</t>
    </rPh>
    <rPh sb="4" eb="6">
      <t>サイダイ</t>
    </rPh>
    <rPh sb="6" eb="9">
      <t>リヨウガク</t>
    </rPh>
    <phoneticPr fontId="8"/>
  </si>
  <si>
    <t>　　上棟時金割合</t>
    <rPh sb="2" eb="5">
      <t>ジョウトウジ</t>
    </rPh>
    <rPh sb="5" eb="6">
      <t>キン</t>
    </rPh>
    <rPh sb="6" eb="8">
      <t>ワリアイ</t>
    </rPh>
    <phoneticPr fontId="8"/>
  </si>
  <si>
    <t>消費税</t>
    <rPh sb="0" eb="3">
      <t>ショウヒゼイ</t>
    </rPh>
    <phoneticPr fontId="8"/>
  </si>
  <si>
    <t>　　土地利用額</t>
    <rPh sb="2" eb="4">
      <t>トチ</t>
    </rPh>
    <rPh sb="4" eb="6">
      <t>リヨウ</t>
    </rPh>
    <rPh sb="6" eb="7">
      <t>ガク</t>
    </rPh>
    <phoneticPr fontId="8"/>
  </si>
  <si>
    <t>　　リフォーム一体判定</t>
    <rPh sb="7" eb="9">
      <t>イッタイ</t>
    </rPh>
    <rPh sb="9" eb="11">
      <t>ハンテイ</t>
    </rPh>
    <phoneticPr fontId="8"/>
  </si>
  <si>
    <t>　　利息</t>
    <rPh sb="2" eb="4">
      <t>リソク</t>
    </rPh>
    <phoneticPr fontId="8"/>
  </si>
  <si>
    <t>　　上棟時金最大</t>
    <rPh sb="2" eb="5">
      <t>ジョウトウジ</t>
    </rPh>
    <rPh sb="5" eb="6">
      <t>キン</t>
    </rPh>
    <rPh sb="6" eb="8">
      <t>サイダイ</t>
    </rPh>
    <phoneticPr fontId="8"/>
  </si>
  <si>
    <t>　　手数料加算判定</t>
    <rPh sb="2" eb="5">
      <t>テスウリョウ</t>
    </rPh>
    <rPh sb="5" eb="7">
      <t>カサン</t>
    </rPh>
    <rPh sb="7" eb="9">
      <t>ハンテイ</t>
    </rPh>
    <phoneticPr fontId="8"/>
  </si>
  <si>
    <t>　　上棟時利用額</t>
    <rPh sb="2" eb="4">
      <t>ジョウトウ</t>
    </rPh>
    <rPh sb="4" eb="5">
      <t>ジ</t>
    </rPh>
    <rPh sb="5" eb="8">
      <t>リヨウガク</t>
    </rPh>
    <phoneticPr fontId="8"/>
  </si>
  <si>
    <t>手数料加算タイミング</t>
    <rPh sb="0" eb="3">
      <t>テスウリョウ</t>
    </rPh>
    <rPh sb="3" eb="5">
      <t>カサン</t>
    </rPh>
    <phoneticPr fontId="8"/>
  </si>
  <si>
    <t>　　合計</t>
    <rPh sb="2" eb="4">
      <t>ゴウケイ</t>
    </rPh>
    <phoneticPr fontId="8"/>
  </si>
  <si>
    <t>手数料判定より最終回</t>
    <rPh sb="0" eb="3">
      <t>テスウリョウ</t>
    </rPh>
    <rPh sb="3" eb="5">
      <t>ハンテイ</t>
    </rPh>
    <rPh sb="7" eb="9">
      <t>サイシュウ</t>
    </rPh>
    <rPh sb="9" eb="10">
      <t>カイ</t>
    </rPh>
    <phoneticPr fontId="8"/>
  </si>
  <si>
    <t>契約時</t>
    <rPh sb="0" eb="3">
      <t>ケイヤクジ</t>
    </rPh>
    <phoneticPr fontId="8"/>
  </si>
  <si>
    <t>つなぎ最大実行回数</t>
    <rPh sb="3" eb="5">
      <t>サイダイ</t>
    </rPh>
    <rPh sb="5" eb="7">
      <t>ジッコウ</t>
    </rPh>
    <rPh sb="7" eb="9">
      <t>カイスウ</t>
    </rPh>
    <phoneticPr fontId="8"/>
  </si>
  <si>
    <t>回</t>
    <rPh sb="0" eb="1">
      <t>カイ</t>
    </rPh>
    <phoneticPr fontId="8"/>
  </si>
  <si>
    <t>　　契約時金割合</t>
    <rPh sb="2" eb="5">
      <t>ケイヤクジ</t>
    </rPh>
    <rPh sb="5" eb="6">
      <t>キン</t>
    </rPh>
    <rPh sb="6" eb="8">
      <t>ワリアイ</t>
    </rPh>
    <phoneticPr fontId="8"/>
  </si>
  <si>
    <t>つなぎ実行回数</t>
    <rPh sb="3" eb="5">
      <t>ジッコウ</t>
    </rPh>
    <rPh sb="5" eb="7">
      <t>カイスウ</t>
    </rPh>
    <phoneticPr fontId="8"/>
  </si>
  <si>
    <t>竣工時</t>
    <rPh sb="0" eb="2">
      <t>シュンコウ</t>
    </rPh>
    <rPh sb="2" eb="3">
      <t>ジ</t>
    </rPh>
    <phoneticPr fontId="8"/>
  </si>
  <si>
    <t>つなぎ利用額</t>
    <rPh sb="3" eb="5">
      <t>リヨウ</t>
    </rPh>
    <rPh sb="5" eb="6">
      <t>ガク</t>
    </rPh>
    <phoneticPr fontId="8"/>
  </si>
  <si>
    <t>　　契約時金最大</t>
    <rPh sb="2" eb="5">
      <t>ケイヤクジ</t>
    </rPh>
    <rPh sb="5" eb="6">
      <t>キン</t>
    </rPh>
    <rPh sb="6" eb="8">
      <t>サイダイ</t>
    </rPh>
    <phoneticPr fontId="8"/>
  </si>
  <si>
    <t>　　竣工時割合</t>
    <rPh sb="2" eb="4">
      <t>シュンコウ</t>
    </rPh>
    <rPh sb="4" eb="5">
      <t>ジ</t>
    </rPh>
    <rPh sb="5" eb="7">
      <t>ワリアイ</t>
    </rPh>
    <phoneticPr fontId="8"/>
  </si>
  <si>
    <t>つなぎコスト</t>
    <phoneticPr fontId="8"/>
  </si>
  <si>
    <t>　　契約時金利用額</t>
    <rPh sb="2" eb="5">
      <t>ケイヤクジ</t>
    </rPh>
    <rPh sb="5" eb="6">
      <t>キン</t>
    </rPh>
    <rPh sb="6" eb="9">
      <t>リヨウガク</t>
    </rPh>
    <phoneticPr fontId="8"/>
  </si>
  <si>
    <t>　　竣工時金最大</t>
    <rPh sb="2" eb="4">
      <t>シュンコウ</t>
    </rPh>
    <rPh sb="4" eb="5">
      <t>ジ</t>
    </rPh>
    <rPh sb="5" eb="6">
      <t>キン</t>
    </rPh>
    <rPh sb="6" eb="8">
      <t>サイダイ</t>
    </rPh>
    <phoneticPr fontId="8"/>
  </si>
  <si>
    <t>土地価格算出</t>
    <rPh sb="0" eb="2">
      <t>トチ</t>
    </rPh>
    <rPh sb="2" eb="4">
      <t>カカク</t>
    </rPh>
    <rPh sb="4" eb="6">
      <t>サンシュツ</t>
    </rPh>
    <phoneticPr fontId="8"/>
  </si>
  <si>
    <t>　　竣工時利用額</t>
    <rPh sb="2" eb="4">
      <t>シュンコウ</t>
    </rPh>
    <rPh sb="4" eb="5">
      <t>ジ</t>
    </rPh>
    <rPh sb="5" eb="7">
      <t>リヨウ</t>
    </rPh>
    <rPh sb="7" eb="8">
      <t>ガク</t>
    </rPh>
    <phoneticPr fontId="8"/>
  </si>
  <si>
    <t>建物価格（リフォーム一体）</t>
    <rPh sb="0" eb="2">
      <t>タテモノ</t>
    </rPh>
    <rPh sb="2" eb="4">
      <t>カカク</t>
    </rPh>
    <rPh sb="10" eb="12">
      <t>イッタイ</t>
    </rPh>
    <phoneticPr fontId="8"/>
  </si>
  <si>
    <t>基礎配筋時</t>
    <rPh sb="0" eb="2">
      <t>キソ</t>
    </rPh>
    <rPh sb="2" eb="4">
      <t>ハイキン</t>
    </rPh>
    <rPh sb="4" eb="5">
      <t>ジ</t>
    </rPh>
    <phoneticPr fontId="8"/>
  </si>
  <si>
    <t>仲介手数料</t>
    <rPh sb="0" eb="2">
      <t>チュウカイ</t>
    </rPh>
    <rPh sb="2" eb="5">
      <t>テスウリョウ</t>
    </rPh>
    <phoneticPr fontId="8"/>
  </si>
  <si>
    <t>　　基礎配筋時割合</t>
    <rPh sb="2" eb="4">
      <t>キソ</t>
    </rPh>
    <rPh sb="4" eb="6">
      <t>ハイキン</t>
    </rPh>
    <rPh sb="6" eb="7">
      <t>ジ</t>
    </rPh>
    <rPh sb="7" eb="9">
      <t>ワリアイ</t>
    </rPh>
    <phoneticPr fontId="8"/>
  </si>
  <si>
    <t>売買契約書印紙</t>
    <rPh sb="0" eb="2">
      <t>バイバイ</t>
    </rPh>
    <rPh sb="2" eb="5">
      <t>ケイヤクショ</t>
    </rPh>
    <rPh sb="5" eb="7">
      <t>インシ</t>
    </rPh>
    <phoneticPr fontId="8"/>
  </si>
  <si>
    <t>土地決済時司法書士</t>
    <rPh sb="0" eb="2">
      <t>トチ</t>
    </rPh>
    <rPh sb="2" eb="4">
      <t>ケッサイ</t>
    </rPh>
    <rPh sb="4" eb="5">
      <t>ジ</t>
    </rPh>
    <rPh sb="5" eb="7">
      <t>シホウ</t>
    </rPh>
    <rPh sb="7" eb="9">
      <t>ショシ</t>
    </rPh>
    <phoneticPr fontId="8"/>
  </si>
  <si>
    <t>　　基礎配筋時最大</t>
    <rPh sb="2" eb="4">
      <t>キソ</t>
    </rPh>
    <rPh sb="4" eb="6">
      <t>ハイキン</t>
    </rPh>
    <rPh sb="6" eb="7">
      <t>ジ</t>
    </rPh>
    <rPh sb="7" eb="9">
      <t>サイダイ</t>
    </rPh>
    <phoneticPr fontId="8"/>
  </si>
  <si>
    <t>火災保険（リフォーム一体）</t>
    <rPh sb="0" eb="2">
      <t>カサイ</t>
    </rPh>
    <rPh sb="2" eb="4">
      <t>ホケン</t>
    </rPh>
    <rPh sb="10" eb="12">
      <t>イッタイ</t>
    </rPh>
    <phoneticPr fontId="8"/>
  </si>
  <si>
    <t>　　基礎配筋時利用額</t>
    <rPh sb="2" eb="4">
      <t>キソ</t>
    </rPh>
    <rPh sb="4" eb="6">
      <t>ハイキン</t>
    </rPh>
    <rPh sb="6" eb="7">
      <t>ジ</t>
    </rPh>
    <rPh sb="7" eb="10">
      <t>リヨウガク</t>
    </rPh>
    <phoneticPr fontId="8"/>
  </si>
  <si>
    <t>つなぎ最大判定</t>
    <rPh sb="3" eb="5">
      <t>サイダイ</t>
    </rPh>
    <rPh sb="5" eb="7">
      <t>ハンテイ</t>
    </rPh>
    <phoneticPr fontId="8"/>
  </si>
  <si>
    <t>要請負契約書記載</t>
    <rPh sb="0" eb="1">
      <t>ヨウ</t>
    </rPh>
    <rPh sb="1" eb="3">
      <t>ウケオイ</t>
    </rPh>
    <rPh sb="3" eb="6">
      <t>ケイヤクショ</t>
    </rPh>
    <rPh sb="6" eb="8">
      <t>キサイ</t>
    </rPh>
    <phoneticPr fontId="8"/>
  </si>
  <si>
    <t>算定</t>
    <rPh sb="0" eb="2">
      <t>サンテイ</t>
    </rPh>
    <phoneticPr fontId="8"/>
  </si>
  <si>
    <t>基礎配筋時　商慣習</t>
    <rPh sb="0" eb="2">
      <t>キソ</t>
    </rPh>
    <rPh sb="2" eb="4">
      <t>ハイキン</t>
    </rPh>
    <rPh sb="4" eb="5">
      <t>ジ</t>
    </rPh>
    <rPh sb="6" eb="9">
      <t>ショウカンシュウ</t>
    </rPh>
    <phoneticPr fontId="8"/>
  </si>
  <si>
    <t>上棟時　商慣習</t>
    <rPh sb="0" eb="2">
      <t>ジョウトウ</t>
    </rPh>
    <rPh sb="2" eb="3">
      <t>ジ</t>
    </rPh>
    <rPh sb="4" eb="7">
      <t>ショウカンシュウ</t>
    </rPh>
    <phoneticPr fontId="8"/>
  </si>
  <si>
    <t>建物価格算出</t>
    <rPh sb="0" eb="2">
      <t>タテモノ</t>
    </rPh>
    <rPh sb="2" eb="4">
      <t>カカク</t>
    </rPh>
    <rPh sb="4" eb="6">
      <t>サンシュツ</t>
    </rPh>
    <phoneticPr fontId="8"/>
  </si>
  <si>
    <t>請負価格</t>
    <rPh sb="0" eb="2">
      <t>ウケオイ</t>
    </rPh>
    <rPh sb="2" eb="4">
      <t>カカク</t>
    </rPh>
    <phoneticPr fontId="8"/>
  </si>
  <si>
    <t>つなぎ超過判定</t>
    <rPh sb="3" eb="5">
      <t>チョウカ</t>
    </rPh>
    <rPh sb="5" eb="7">
      <t>ハンテイ</t>
    </rPh>
    <phoneticPr fontId="8"/>
  </si>
  <si>
    <t>リフォーム価格（リフォーム一体）</t>
    <rPh sb="5" eb="7">
      <t>カカク</t>
    </rPh>
    <rPh sb="13" eb="15">
      <t>イッタイ</t>
    </rPh>
    <phoneticPr fontId="8"/>
  </si>
  <si>
    <t>つなぎ期間判定　着工</t>
    <rPh sb="3" eb="5">
      <t>キカン</t>
    </rPh>
    <rPh sb="5" eb="7">
      <t>ハンテイ</t>
    </rPh>
    <rPh sb="8" eb="10">
      <t>チャッコウ</t>
    </rPh>
    <phoneticPr fontId="8"/>
  </si>
  <si>
    <t>請負印紙</t>
    <rPh sb="0" eb="2">
      <t>ウケオイ</t>
    </rPh>
    <rPh sb="2" eb="4">
      <t>インシ</t>
    </rPh>
    <phoneticPr fontId="8"/>
  </si>
  <si>
    <t>算入不可2019.1.25確認</t>
    <rPh sb="0" eb="2">
      <t>サンニュウ</t>
    </rPh>
    <rPh sb="2" eb="4">
      <t>フカ</t>
    </rPh>
    <rPh sb="13" eb="15">
      <t>カクニン</t>
    </rPh>
    <phoneticPr fontId="8"/>
  </si>
  <si>
    <t>つなぎ期間判定　上棟</t>
    <rPh sb="3" eb="5">
      <t>キカン</t>
    </rPh>
    <rPh sb="5" eb="7">
      <t>ハンテイ</t>
    </rPh>
    <rPh sb="8" eb="10">
      <t>ジョウトウ</t>
    </rPh>
    <phoneticPr fontId="8"/>
  </si>
  <si>
    <t>つなぎ期間判定　竣工</t>
    <rPh sb="3" eb="5">
      <t>キカン</t>
    </rPh>
    <rPh sb="5" eb="7">
      <t>ハンテイ</t>
    </rPh>
    <rPh sb="8" eb="10">
      <t>シュンコウ</t>
    </rPh>
    <phoneticPr fontId="8"/>
  </si>
  <si>
    <t>金利　R6.9.1から</t>
    <rPh sb="0" eb="2">
      <t>キンリ</t>
    </rPh>
    <phoneticPr fontId="8"/>
  </si>
  <si>
    <t>ベストミックス　金利</t>
    <rPh sb="8" eb="10">
      <t>キンリ</t>
    </rPh>
    <phoneticPr fontId="8"/>
  </si>
  <si>
    <t>年数</t>
    <rPh sb="0" eb="2">
      <t>ネンスウ</t>
    </rPh>
    <phoneticPr fontId="8"/>
  </si>
  <si>
    <t>新10％</t>
    <rPh sb="0" eb="1">
      <t>シン</t>
    </rPh>
    <phoneticPr fontId="8"/>
  </si>
  <si>
    <t>金額</t>
    <rPh sb="0" eb="2">
      <t>キンガク</t>
    </rPh>
    <phoneticPr fontId="8"/>
  </si>
  <si>
    <t>旧8％</t>
    <rPh sb="0" eb="1">
      <t>キュウ</t>
    </rPh>
    <phoneticPr fontId="8"/>
  </si>
  <si>
    <t>返比計算用</t>
    <rPh sb="0" eb="1">
      <t>ヘン</t>
    </rPh>
    <rPh sb="1" eb="2">
      <t>ピ</t>
    </rPh>
    <rPh sb="2" eb="5">
      <t>ケイサンヨウ</t>
    </rPh>
    <phoneticPr fontId="8"/>
  </si>
  <si>
    <t>ベストミックス手数料</t>
    <rPh sb="7" eb="10">
      <t>テスウリョウ</t>
    </rPh>
    <phoneticPr fontId="8"/>
  </si>
  <si>
    <t>最低金額</t>
    <rPh sb="0" eb="2">
      <t>サイテイ</t>
    </rPh>
    <rPh sb="2" eb="4">
      <t>キンガク</t>
    </rPh>
    <phoneticPr fontId="8"/>
  </si>
  <si>
    <t>万</t>
    <rPh sb="0" eb="1">
      <t>マン</t>
    </rPh>
    <phoneticPr fontId="8"/>
  </si>
  <si>
    <t>最高金額</t>
    <rPh sb="0" eb="2">
      <t>サイコウ</t>
    </rPh>
    <rPh sb="2" eb="4">
      <t>キンガク</t>
    </rPh>
    <phoneticPr fontId="8"/>
  </si>
  <si>
    <t>アプラス　ワイド</t>
    <phoneticPr fontId="8"/>
  </si>
  <si>
    <t>アプラスワイド　金利</t>
    <rPh sb="8" eb="10">
      <t>キンリ</t>
    </rPh>
    <phoneticPr fontId="8"/>
  </si>
  <si>
    <t>毎月払い</t>
    <rPh sb="0" eb="2">
      <t>マイツキ</t>
    </rPh>
    <rPh sb="2" eb="3">
      <t>バラ</t>
    </rPh>
    <phoneticPr fontId="8"/>
  </si>
  <si>
    <t>アプラスワイド　手数料</t>
    <rPh sb="8" eb="11">
      <t>テスウリョウ</t>
    </rPh>
    <phoneticPr fontId="8"/>
  </si>
  <si>
    <t>年収の１/３</t>
    <rPh sb="0" eb="2">
      <t>ネンシュウ</t>
    </rPh>
    <phoneticPr fontId="8"/>
  </si>
  <si>
    <t>融資限度</t>
    <rPh sb="0" eb="2">
      <t>ユウシ</t>
    </rPh>
    <rPh sb="2" eb="4">
      <t>ゲンド</t>
    </rPh>
    <phoneticPr fontId="8"/>
  </si>
  <si>
    <t>Aプラン　手数料</t>
    <rPh sb="5" eb="8">
      <t>テスウリョウ</t>
    </rPh>
    <phoneticPr fontId="8"/>
  </si>
  <si>
    <t>Bプラン　手数料</t>
    <rPh sb="5" eb="8">
      <t>テスウリョウ</t>
    </rPh>
    <phoneticPr fontId="8"/>
  </si>
  <si>
    <t>住宅性能</t>
    <rPh sb="0" eb="4">
      <t>ジュウタクセイノウ</t>
    </rPh>
    <phoneticPr fontId="70"/>
  </si>
  <si>
    <t>ポイント</t>
    <phoneticPr fontId="70"/>
  </si>
  <si>
    <t>Ｓ（ＺＥＨ）</t>
    <phoneticPr fontId="70"/>
  </si>
  <si>
    <t>仮合計</t>
    <rPh sb="0" eb="3">
      <t>カリゴウケイ</t>
    </rPh>
    <phoneticPr fontId="8"/>
  </si>
  <si>
    <t>Ｓ（Ａプラン）</t>
    <phoneticPr fontId="70"/>
  </si>
  <si>
    <t>Ｓ（Ｂプラン）</t>
    <phoneticPr fontId="70"/>
  </si>
  <si>
    <t>子育てプラス</t>
    <rPh sb="0" eb="2">
      <t>コソダ</t>
    </rPh>
    <phoneticPr fontId="8"/>
  </si>
  <si>
    <t>Ｓナシ</t>
    <phoneticPr fontId="70"/>
  </si>
  <si>
    <t>子供</t>
    <rPh sb="0" eb="2">
      <t>コドモ</t>
    </rPh>
    <phoneticPr fontId="8"/>
  </si>
  <si>
    <t>リノベ（Ａプラン）</t>
    <phoneticPr fontId="70"/>
  </si>
  <si>
    <t>若年</t>
    <rPh sb="0" eb="2">
      <t>ジャクネン</t>
    </rPh>
    <phoneticPr fontId="8"/>
  </si>
  <si>
    <t>リノベ（Ｂプラン）</t>
    <phoneticPr fontId="70"/>
  </si>
  <si>
    <t>リノベ　</t>
    <phoneticPr fontId="70"/>
  </si>
  <si>
    <t>判定</t>
    <rPh sb="0" eb="2">
      <t>ハンテイ</t>
    </rPh>
    <phoneticPr fontId="8"/>
  </si>
  <si>
    <t>管理・修繕</t>
    <rPh sb="0" eb="2">
      <t>カンリ</t>
    </rPh>
    <rPh sb="3" eb="5">
      <t>シュウゼン</t>
    </rPh>
    <phoneticPr fontId="70"/>
  </si>
  <si>
    <t>長期優良住宅</t>
    <rPh sb="0" eb="6">
      <t>チョウキユウリョウジュウタク</t>
    </rPh>
    <phoneticPr fontId="70"/>
  </si>
  <si>
    <t>予備認定マンション</t>
    <rPh sb="0" eb="4">
      <t>ヨビニンテイ</t>
    </rPh>
    <phoneticPr fontId="70"/>
  </si>
  <si>
    <t>管理計画認定マンション</t>
    <rPh sb="0" eb="6">
      <t>カンリケイカクニンテイ</t>
    </rPh>
    <phoneticPr fontId="70"/>
  </si>
  <si>
    <t>安心Ｒ住宅</t>
    <rPh sb="0" eb="2">
      <t>アンシン</t>
    </rPh>
    <rPh sb="3" eb="5">
      <t>ジュウタク</t>
    </rPh>
    <phoneticPr fontId="70"/>
  </si>
  <si>
    <t>％引き下げは</t>
    <rPh sb="1" eb="2">
      <t>ヒ</t>
    </rPh>
    <rPh sb="3" eb="4">
      <t>サ</t>
    </rPh>
    <phoneticPr fontId="70"/>
  </si>
  <si>
    <t>インスペクション実施住宅</t>
    <rPh sb="8" eb="12">
      <t>ジッシジュウタク</t>
    </rPh>
    <phoneticPr fontId="70"/>
  </si>
  <si>
    <t>当初</t>
    <rPh sb="0" eb="2">
      <t>トウショ</t>
    </rPh>
    <phoneticPr fontId="70"/>
  </si>
  <si>
    <t>既存住宅売買瑕疵保険付保住宅</t>
    <rPh sb="0" eb="14">
      <t>キゾンジュウタクバイバイカシホケンフホジュウタク</t>
    </rPh>
    <phoneticPr fontId="70"/>
  </si>
  <si>
    <t>年間</t>
    <rPh sb="0" eb="2">
      <t>ネンカン</t>
    </rPh>
    <phoneticPr fontId="70"/>
  </si>
  <si>
    <t>なし</t>
    <phoneticPr fontId="70"/>
  </si>
  <si>
    <t>次の５年間</t>
    <rPh sb="0" eb="1">
      <t>ツギ</t>
    </rPh>
    <rPh sb="3" eb="5">
      <t>ネンカン</t>
    </rPh>
    <phoneticPr fontId="70"/>
  </si>
  <si>
    <t>％引き下げ</t>
    <rPh sb="1" eb="2">
      <t>ヒ</t>
    </rPh>
    <rPh sb="3" eb="4">
      <t>サ</t>
    </rPh>
    <phoneticPr fontId="70"/>
  </si>
  <si>
    <t>エリア</t>
    <phoneticPr fontId="70"/>
  </si>
  <si>
    <t>地域連携型（子育て支援）</t>
    <rPh sb="0" eb="5">
      <t>チイキレンケイガタ</t>
    </rPh>
    <rPh sb="6" eb="8">
      <t>コソダ</t>
    </rPh>
    <rPh sb="9" eb="11">
      <t>シエン</t>
    </rPh>
    <phoneticPr fontId="70"/>
  </si>
  <si>
    <t>つまり、文章</t>
    <rPh sb="4" eb="6">
      <t>ブンショウ</t>
    </rPh>
    <phoneticPr fontId="8"/>
  </si>
  <si>
    <t>地域連携型（空き家対策）</t>
    <rPh sb="0" eb="5">
      <t>チイキレンケイガタ</t>
    </rPh>
    <rPh sb="6" eb="7">
      <t>ア</t>
    </rPh>
    <rPh sb="8" eb="11">
      <t>ヤタイサク</t>
    </rPh>
    <phoneticPr fontId="70"/>
  </si>
  <si>
    <t>％引下げ</t>
    <phoneticPr fontId="8"/>
  </si>
  <si>
    <t>地域連携型（地域活性化）</t>
    <rPh sb="0" eb="5">
      <t>チイキレンケイガタ</t>
    </rPh>
    <rPh sb="6" eb="11">
      <t>チイキカッセイカ</t>
    </rPh>
    <phoneticPr fontId="70"/>
  </si>
  <si>
    <t>、次の</t>
    <rPh sb="1" eb="2">
      <t>ツギ</t>
    </rPh>
    <phoneticPr fontId="8"/>
  </si>
  <si>
    <t>地方移住支援型</t>
    <rPh sb="0" eb="7">
      <t>チホウイジュウシエンガタ</t>
    </rPh>
    <phoneticPr fontId="70"/>
  </si>
  <si>
    <t>様</t>
    <phoneticPr fontId="8"/>
  </si>
  <si>
    <t>資金計画表</t>
    <phoneticPr fontId="8"/>
  </si>
  <si>
    <t>■資金計画内訳</t>
    <rPh sb="1" eb="3">
      <t>シキン</t>
    </rPh>
    <rPh sb="3" eb="5">
      <t>ケイカク</t>
    </rPh>
    <rPh sb="5" eb="7">
      <t>ウチワケ</t>
    </rPh>
    <phoneticPr fontId="8"/>
  </si>
  <si>
    <t>資金計画</t>
    <rPh sb="0" eb="2">
      <t>シキン</t>
    </rPh>
    <rPh sb="2" eb="4">
      <t>ケイカク</t>
    </rPh>
    <phoneticPr fontId="8"/>
  </si>
  <si>
    <t>建物価格</t>
    <phoneticPr fontId="8"/>
  </si>
  <si>
    <t>MSJフラット</t>
    <phoneticPr fontId="8"/>
  </si>
  <si>
    <t>リフォーム・
オプション価格</t>
    <rPh sb="12" eb="14">
      <t>カカク</t>
    </rPh>
    <phoneticPr fontId="8"/>
  </si>
  <si>
    <t>その他諸費用</t>
    <rPh sb="2" eb="3">
      <t>タ</t>
    </rPh>
    <rPh sb="3" eb="6">
      <t>ショヒヨウ</t>
    </rPh>
    <phoneticPr fontId="8"/>
  </si>
  <si>
    <t>■返済予定額</t>
    <rPh sb="1" eb="3">
      <t>ヘンサイ</t>
    </rPh>
    <rPh sb="3" eb="5">
      <t>ヨテイ</t>
    </rPh>
    <rPh sb="5" eb="6">
      <t>ガク</t>
    </rPh>
    <phoneticPr fontId="8"/>
  </si>
  <si>
    <t>【MSJ住宅ローン】</t>
    <rPh sb="4" eb="6">
      <t>ジュウタク</t>
    </rPh>
    <phoneticPr fontId="8"/>
  </si>
  <si>
    <t>（金利）</t>
    <rPh sb="1" eb="3">
      <t>キンリ</t>
    </rPh>
    <phoneticPr fontId="8"/>
  </si>
  <si>
    <t>（借入額）</t>
    <rPh sb="1" eb="3">
      <t>カリイレ</t>
    </rPh>
    <rPh sb="3" eb="4">
      <t>ガク</t>
    </rPh>
    <phoneticPr fontId="8"/>
  </si>
  <si>
    <t>借入額</t>
    <rPh sb="0" eb="2">
      <t>カリイレ</t>
    </rPh>
    <rPh sb="2" eb="3">
      <t>ガク</t>
    </rPh>
    <phoneticPr fontId="8"/>
  </si>
  <si>
    <t>←つなぎ合計額</t>
    <rPh sb="4" eb="6">
      <t>ゴウケイ</t>
    </rPh>
    <rPh sb="6" eb="7">
      <t>ガク</t>
    </rPh>
    <phoneticPr fontId="8"/>
  </si>
  <si>
    <t>■概算諸経費</t>
    <rPh sb="1" eb="3">
      <t>ガイサン</t>
    </rPh>
    <rPh sb="3" eb="6">
      <t>ショケイヒ</t>
    </rPh>
    <phoneticPr fontId="8"/>
  </si>
  <si>
    <t>【概算諸経費】</t>
    <rPh sb="1" eb="3">
      <t>ガイサン</t>
    </rPh>
    <rPh sb="3" eb="6">
      <t>ショケイヒ</t>
    </rPh>
    <phoneticPr fontId="8"/>
  </si>
  <si>
    <t>ＭＳＪフラット35</t>
    <phoneticPr fontId="8"/>
  </si>
  <si>
    <t>つなぎ融資</t>
    <rPh sb="3" eb="5">
      <t>ユウシ</t>
    </rPh>
    <phoneticPr fontId="8"/>
  </si>
  <si>
    <t>【備考欄】</t>
    <rPh sb="1" eb="3">
      <t>ビコウ</t>
    </rPh>
    <rPh sb="3" eb="4">
      <t>ラン</t>
    </rPh>
    <phoneticPr fontId="8"/>
  </si>
  <si>
    <t>提携住宅会社／　</t>
    <rPh sb="0" eb="2">
      <t>テイケイ</t>
    </rPh>
    <rPh sb="2" eb="4">
      <t>ジュウタク</t>
    </rPh>
    <rPh sb="4" eb="6">
      <t>カイシャ</t>
    </rPh>
    <phoneticPr fontId="8"/>
  </si>
  <si>
    <t>担当／</t>
    <rPh sb="0" eb="2">
      <t>タントウ</t>
    </rPh>
    <phoneticPr fontId="8"/>
  </si>
  <si>
    <t>TEL／</t>
    <phoneticPr fontId="8"/>
  </si>
  <si>
    <t>FAX／</t>
    <phoneticPr fontId="8"/>
  </si>
  <si>
    <t>【注意事項】</t>
    <phoneticPr fontId="8"/>
  </si>
  <si>
    <t>●このシミュレーションでは、エクセルの関数を利用して計算をしております。そのため、実際の場合と数値が異なる場合があります。</t>
    <rPh sb="19" eb="21">
      <t>カンスウ</t>
    </rPh>
    <rPh sb="22" eb="24">
      <t>リヨウ</t>
    </rPh>
    <phoneticPr fontId="8"/>
  </si>
  <si>
    <t>●正式な返済額は融資借入時に確定致します。</t>
    <rPh sb="1" eb="3">
      <t>セイシキ</t>
    </rPh>
    <rPh sb="4" eb="6">
      <t>ヘンサイ</t>
    </rPh>
    <rPh sb="6" eb="7">
      <t>ガク</t>
    </rPh>
    <rPh sb="8" eb="10">
      <t>ユウシ</t>
    </rPh>
    <rPh sb="10" eb="12">
      <t>カリイレ</t>
    </rPh>
    <rPh sb="12" eb="13">
      <t>ジ</t>
    </rPh>
    <rPh sb="14" eb="16">
      <t>カクテイ</t>
    </rPh>
    <rPh sb="16" eb="17">
      <t>イタ</t>
    </rPh>
    <phoneticPr fontId="8"/>
  </si>
  <si>
    <t>●MSJフラット35シミュレーションで元金均等返済の場合は各期間の第一回目の返済額を表示しています。</t>
    <phoneticPr fontId="8"/>
  </si>
  <si>
    <t>●このシミュレーションの結果は、融資をお約束するものではありません。</t>
    <phoneticPr fontId="8"/>
  </si>
  <si>
    <t>●実際のローンのお申込みに際しては弊社所定の審査がございます。</t>
    <phoneticPr fontId="8"/>
  </si>
  <si>
    <t>●審査結果によってはご要望に添えない場合がございますので、ご了承ください。</t>
    <phoneticPr fontId="8"/>
  </si>
  <si>
    <t>様 資金計画表</t>
    <rPh sb="0" eb="1">
      <t>サマ</t>
    </rPh>
    <rPh sb="2" eb="4">
      <t>シキン</t>
    </rPh>
    <rPh sb="4" eb="6">
      <t>ケイカク</t>
    </rPh>
    <rPh sb="6" eb="7">
      <t>ヒョウ</t>
    </rPh>
    <phoneticPr fontId="70"/>
  </si>
  <si>
    <t>物件</t>
    <rPh sb="0" eb="2">
      <t>ブッケン</t>
    </rPh>
    <phoneticPr fontId="70"/>
  </si>
  <si>
    <t>今回の資金計画</t>
    <rPh sb="0" eb="2">
      <t>コンカイ</t>
    </rPh>
    <rPh sb="3" eb="5">
      <t>シキン</t>
    </rPh>
    <rPh sb="5" eb="7">
      <t>ケイカク</t>
    </rPh>
    <phoneticPr fontId="70"/>
  </si>
  <si>
    <t>円に対して</t>
    <rPh sb="0" eb="1">
      <t>エン</t>
    </rPh>
    <rPh sb="2" eb="3">
      <t>タイ</t>
    </rPh>
    <phoneticPr fontId="70"/>
  </si>
  <si>
    <t>　ＭＳＪフラット３５の対象額は</t>
    <rPh sb="11" eb="13">
      <t>タイショウ</t>
    </rPh>
    <rPh sb="13" eb="14">
      <t>ガク</t>
    </rPh>
    <phoneticPr fontId="70"/>
  </si>
  <si>
    <t>円です</t>
    <rPh sb="0" eb="1">
      <t>エン</t>
    </rPh>
    <phoneticPr fontId="70"/>
  </si>
  <si>
    <t>入力シートより</t>
    <rPh sb="0" eb="2">
      <t>ニュウリョク</t>
    </rPh>
    <phoneticPr fontId="8"/>
  </si>
  <si>
    <t>合成用</t>
    <rPh sb="0" eb="3">
      <t>ゴウセイヨウ</t>
    </rPh>
    <phoneticPr fontId="8"/>
  </si>
  <si>
    <t>新築１中古２</t>
    <rPh sb="0" eb="2">
      <t>シンチク</t>
    </rPh>
    <rPh sb="3" eb="5">
      <t>チュウコ</t>
    </rPh>
    <phoneticPr fontId="8"/>
  </si>
  <si>
    <t>　ふるふるパッケージ(アプラス)対象額は</t>
    <rPh sb="16" eb="18">
      <t>タイショウ</t>
    </rPh>
    <rPh sb="18" eb="19">
      <t>ガク</t>
    </rPh>
    <phoneticPr fontId="70"/>
  </si>
  <si>
    <t>BA判定</t>
    <rPh sb="2" eb="4">
      <t>ハンテイ</t>
    </rPh>
    <phoneticPr fontId="8"/>
  </si>
  <si>
    <t>種別合成</t>
    <rPh sb="0" eb="2">
      <t>シュベツ</t>
    </rPh>
    <rPh sb="2" eb="4">
      <t>ゴウセイ</t>
    </rPh>
    <phoneticPr fontId="8"/>
  </si>
  <si>
    <t>建のみ１　土建２　建売３　MS４</t>
    <rPh sb="0" eb="1">
      <t>タ</t>
    </rPh>
    <rPh sb="5" eb="7">
      <t>ドケン</t>
    </rPh>
    <rPh sb="9" eb="11">
      <t>タテウリ</t>
    </rPh>
    <phoneticPr fontId="8"/>
  </si>
  <si>
    <t>で試算中です</t>
    <rPh sb="1" eb="4">
      <t>シサンチュウ</t>
    </rPh>
    <phoneticPr fontId="8"/>
  </si>
  <si>
    <t>変更</t>
    <rPh sb="0" eb="2">
      <t>ヘンコウ</t>
    </rPh>
    <phoneticPr fontId="8"/>
  </si>
  <si>
    <t>　マイホームプランワイド(アプラス)対象額は</t>
    <rPh sb="18" eb="20">
      <t>タイショウ</t>
    </rPh>
    <rPh sb="20" eb="21">
      <t>ガク</t>
    </rPh>
    <phoneticPr fontId="70"/>
  </si>
  <si>
    <t>BA判定　B１　A２</t>
    <rPh sb="2" eb="4">
      <t>ハンテイ</t>
    </rPh>
    <phoneticPr fontId="8"/>
  </si>
  <si>
    <t>９割１　MAX２</t>
    <rPh sb="1" eb="2">
      <t>ワリ</t>
    </rPh>
    <phoneticPr fontId="8"/>
  </si>
  <si>
    <t>　融資対象外（自己資金でご用意下さい）は</t>
    <rPh sb="1" eb="3">
      <t>ユウシ</t>
    </rPh>
    <rPh sb="3" eb="5">
      <t>タイショウ</t>
    </rPh>
    <rPh sb="5" eb="6">
      <t>ガイ</t>
    </rPh>
    <rPh sb="7" eb="9">
      <t>ジコ</t>
    </rPh>
    <rPh sb="9" eb="11">
      <t>シキン</t>
    </rPh>
    <rPh sb="13" eb="15">
      <t>ヨウイ</t>
    </rPh>
    <rPh sb="15" eb="16">
      <t>クダ</t>
    </rPh>
    <phoneticPr fontId="8"/>
  </si>
  <si>
    <t>円です</t>
    <rPh sb="0" eb="1">
      <t>エン</t>
    </rPh>
    <phoneticPr fontId="8"/>
  </si>
  <si>
    <t>フラット判定</t>
    <rPh sb="4" eb="6">
      <t>ハンテイ</t>
    </rPh>
    <phoneticPr fontId="70"/>
  </si>
  <si>
    <t>希望</t>
    <rPh sb="0" eb="2">
      <t>キボウ</t>
    </rPh>
    <phoneticPr fontId="70"/>
  </si>
  <si>
    <t>金額</t>
    <rPh sb="0" eb="2">
      <t>キンガク</t>
    </rPh>
    <phoneticPr fontId="70"/>
  </si>
  <si>
    <t>アプラス判定</t>
    <rPh sb="4" eb="6">
      <t>ハンテイ</t>
    </rPh>
    <phoneticPr fontId="70"/>
  </si>
  <si>
    <t>ワイド判定</t>
    <rPh sb="3" eb="5">
      <t>ハンテイ</t>
    </rPh>
    <phoneticPr fontId="70"/>
  </si>
  <si>
    <t>表示判定</t>
    <rPh sb="0" eb="2">
      <t>ヒョウジ</t>
    </rPh>
    <rPh sb="2" eb="4">
      <t>ハンテイ</t>
    </rPh>
    <phoneticPr fontId="70"/>
  </si>
  <si>
    <t>項目がないものは金額を入れないでください。</t>
    <rPh sb="0" eb="2">
      <t>コウモク</t>
    </rPh>
    <rPh sb="8" eb="10">
      <t>キンガク</t>
    </rPh>
    <rPh sb="11" eb="12">
      <t>イ</t>
    </rPh>
    <phoneticPr fontId="70"/>
  </si>
  <si>
    <t>建物価格</t>
    <rPh sb="0" eb="2">
      <t>タテモノ</t>
    </rPh>
    <rPh sb="2" eb="4">
      <t>カカク</t>
    </rPh>
    <phoneticPr fontId="70"/>
  </si>
  <si>
    <t>　　　　　※ご融資金額は　１万円単位です。端数がある場合、自己資金が必要です。</t>
    <rPh sb="7" eb="9">
      <t>ユウシ</t>
    </rPh>
    <rPh sb="9" eb="11">
      <t>キンガク</t>
    </rPh>
    <rPh sb="14" eb="16">
      <t>マンエン</t>
    </rPh>
    <rPh sb="16" eb="18">
      <t>タンイ</t>
    </rPh>
    <rPh sb="21" eb="23">
      <t>ハスウ</t>
    </rPh>
    <rPh sb="26" eb="28">
      <t>バアイ</t>
    </rPh>
    <rPh sb="29" eb="31">
      <t>ジコ</t>
    </rPh>
    <rPh sb="31" eb="33">
      <t>シキン</t>
    </rPh>
    <rPh sb="34" eb="36">
      <t>ヒツヨウ</t>
    </rPh>
    <phoneticPr fontId="8"/>
  </si>
  <si>
    <t>土地価格</t>
    <rPh sb="0" eb="2">
      <t>トチ</t>
    </rPh>
    <rPh sb="2" eb="4">
      <t>カカク</t>
    </rPh>
    <phoneticPr fontId="70"/>
  </si>
  <si>
    <t>土地・建物合計</t>
    <rPh sb="0" eb="2">
      <t>トチ</t>
    </rPh>
    <rPh sb="3" eb="5">
      <t>タテモノ</t>
    </rPh>
    <rPh sb="5" eb="7">
      <t>ゴウケイ</t>
    </rPh>
    <phoneticPr fontId="8"/>
  </si>
  <si>
    <t>万円なら</t>
    <rPh sb="0" eb="2">
      <t>マンエン</t>
    </rPh>
    <phoneticPr fontId="8"/>
  </si>
  <si>
    <t>リフォーム・オプション価格</t>
    <rPh sb="11" eb="13">
      <t>カカク</t>
    </rPh>
    <phoneticPr fontId="70"/>
  </si>
  <si>
    <t>　　　←フラット組込</t>
    <phoneticPr fontId="8"/>
  </si>
  <si>
    <t>諸費用</t>
    <rPh sb="0" eb="1">
      <t>ショ</t>
    </rPh>
    <rPh sb="1" eb="3">
      <t>ヒヨウ</t>
    </rPh>
    <phoneticPr fontId="70"/>
  </si>
  <si>
    <t>ＭＳＪ融資手数料</t>
    <rPh sb="3" eb="5">
      <t>ユウシ</t>
    </rPh>
    <rPh sb="5" eb="8">
      <t>テスウリョウ</t>
    </rPh>
    <phoneticPr fontId="70"/>
  </si>
  <si>
    <t>自己資金希望額</t>
    <rPh sb="0" eb="2">
      <t>ジコ</t>
    </rPh>
    <rPh sb="2" eb="4">
      <t>シキン</t>
    </rPh>
    <rPh sb="4" eb="6">
      <t>キボウ</t>
    </rPh>
    <rPh sb="6" eb="7">
      <t>ガク</t>
    </rPh>
    <phoneticPr fontId="8"/>
  </si>
  <si>
    <t>仲介手数料</t>
    <rPh sb="0" eb="2">
      <t>チュウカイ</t>
    </rPh>
    <rPh sb="2" eb="5">
      <t>テスウリョウ</t>
    </rPh>
    <phoneticPr fontId="70"/>
  </si>
  <si>
    <r>
      <t>　　　</t>
    </r>
    <r>
      <rPr>
        <sz val="11"/>
        <color rgb="FFFF0000"/>
        <rFont val="ＭＳ Ｐゴシック"/>
        <family val="3"/>
        <charset val="128"/>
        <scheme val="minor"/>
      </rPr>
      <t>等しくなるまで繰り返し</t>
    </r>
    <r>
      <rPr>
        <sz val="11"/>
        <color theme="1"/>
        <rFont val="ＭＳ Ｐゴシック"/>
        <family val="2"/>
        <charset val="128"/>
        <scheme val="minor"/>
      </rPr>
      <t>、融資手数料を</t>
    </r>
    <r>
      <rPr>
        <sz val="11"/>
        <color rgb="FFFF0000"/>
        <rFont val="ＭＳ Ｐゴシック"/>
        <family val="3"/>
        <charset val="128"/>
        <scheme val="minor"/>
      </rPr>
      <t>変えて</t>
    </r>
    <r>
      <rPr>
        <sz val="11"/>
        <color theme="1"/>
        <rFont val="ＭＳ Ｐゴシック"/>
        <family val="2"/>
        <charset val="128"/>
        <scheme val="minor"/>
      </rPr>
      <t>ください。</t>
    </r>
    <rPh sb="3" eb="4">
      <t>ヒト</t>
    </rPh>
    <rPh sb="10" eb="11">
      <t>ク</t>
    </rPh>
    <rPh sb="12" eb="13">
      <t>カエ</t>
    </rPh>
    <rPh sb="15" eb="17">
      <t>ユウシ</t>
    </rPh>
    <rPh sb="17" eb="20">
      <t>テスウリョウ</t>
    </rPh>
    <rPh sb="21" eb="22">
      <t>カ</t>
    </rPh>
    <phoneticPr fontId="70"/>
  </si>
  <si>
    <t>請負契約書印紙</t>
    <rPh sb="0" eb="2">
      <t>ウケオイ</t>
    </rPh>
    <rPh sb="2" eb="5">
      <t>ケイヤクショ</t>
    </rPh>
    <rPh sb="5" eb="7">
      <t>インシ</t>
    </rPh>
    <phoneticPr fontId="70"/>
  </si>
  <si>
    <t>売買契約書印紙</t>
    <rPh sb="0" eb="2">
      <t>バイバイ</t>
    </rPh>
    <rPh sb="2" eb="5">
      <t>ケイヤクショ</t>
    </rPh>
    <rPh sb="5" eb="7">
      <t>インシ</t>
    </rPh>
    <phoneticPr fontId="70"/>
  </si>
  <si>
    <t>フラットの資金計画は</t>
    <rPh sb="5" eb="7">
      <t>シキン</t>
    </rPh>
    <rPh sb="7" eb="9">
      <t>ケイカク</t>
    </rPh>
    <phoneticPr fontId="70"/>
  </si>
  <si>
    <t>金消契約書印紙</t>
    <rPh sb="0" eb="2">
      <t>キンショウ</t>
    </rPh>
    <rPh sb="2" eb="5">
      <t>ケイヤクショ</t>
    </rPh>
    <rPh sb="5" eb="7">
      <t>インシ</t>
    </rPh>
    <phoneticPr fontId="70"/>
  </si>
  <si>
    <t>　a 建設費・購入価額</t>
    <rPh sb="3" eb="6">
      <t>ケンセツヒ</t>
    </rPh>
    <rPh sb="7" eb="9">
      <t>コウニュウ</t>
    </rPh>
    <rPh sb="9" eb="11">
      <t>カガク</t>
    </rPh>
    <phoneticPr fontId="70"/>
  </si>
  <si>
    <t xml:space="preserve">万円 </t>
    <rPh sb="0" eb="2">
      <t>マンエン</t>
    </rPh>
    <phoneticPr fontId="70"/>
  </si>
  <si>
    <t>固定資産税等清算金</t>
    <rPh sb="0" eb="2">
      <t>コテイ</t>
    </rPh>
    <rPh sb="2" eb="5">
      <t>シサンゼイ</t>
    </rPh>
    <rPh sb="5" eb="6">
      <t>トウ</t>
    </rPh>
    <rPh sb="6" eb="8">
      <t>セイサン</t>
    </rPh>
    <rPh sb="8" eb="9">
      <t>キン</t>
    </rPh>
    <phoneticPr fontId="70"/>
  </si>
  <si>
    <t>　b 土地取得費</t>
    <rPh sb="3" eb="5">
      <t>トチ</t>
    </rPh>
    <rPh sb="5" eb="7">
      <t>シュトク</t>
    </rPh>
    <rPh sb="7" eb="8">
      <t>ヒ</t>
    </rPh>
    <phoneticPr fontId="70"/>
  </si>
  <si>
    <t>適合証明書</t>
    <rPh sb="0" eb="2">
      <t>テキゴウ</t>
    </rPh>
    <rPh sb="2" eb="4">
      <t>ショウメイ</t>
    </rPh>
    <rPh sb="4" eb="5">
      <t>ショ</t>
    </rPh>
    <phoneticPr fontId="70"/>
  </si>
  <si>
    <t>　　　←本人が直接支払います</t>
    <rPh sb="4" eb="6">
      <t>ホンニン</t>
    </rPh>
    <rPh sb="7" eb="9">
      <t>チョクセツ</t>
    </rPh>
    <rPh sb="9" eb="11">
      <t>シハラ</t>
    </rPh>
    <phoneticPr fontId="8"/>
  </si>
  <si>
    <t>　　　合計（ a + b )</t>
    <rPh sb="3" eb="5">
      <t>ゴウケイ</t>
    </rPh>
    <phoneticPr fontId="70"/>
  </si>
  <si>
    <t>耐震診断等</t>
    <rPh sb="0" eb="2">
      <t>タイシン</t>
    </rPh>
    <rPh sb="2" eb="4">
      <t>シンダン</t>
    </rPh>
    <rPh sb="4" eb="5">
      <t>トウ</t>
    </rPh>
    <phoneticPr fontId="70"/>
  </si>
  <si>
    <t>　　　 ←フラット組込</t>
    <phoneticPr fontId="8"/>
  </si>
  <si>
    <t>必要借入額</t>
    <rPh sb="0" eb="2">
      <t>ヒツヨウ</t>
    </rPh>
    <rPh sb="2" eb="4">
      <t>カリイレ</t>
    </rPh>
    <rPh sb="4" eb="5">
      <t>ガク</t>
    </rPh>
    <phoneticPr fontId="8"/>
  </si>
  <si>
    <t>管理費修繕積立金等清算金</t>
    <rPh sb="0" eb="3">
      <t>カンリヒ</t>
    </rPh>
    <rPh sb="3" eb="5">
      <t>シュウゼン</t>
    </rPh>
    <rPh sb="5" eb="7">
      <t>ツミタテ</t>
    </rPh>
    <rPh sb="7" eb="9">
      <t>キンナド</t>
    </rPh>
    <rPh sb="9" eb="12">
      <t>セイサンキン</t>
    </rPh>
    <phoneticPr fontId="70"/>
  </si>
  <si>
    <t>フラット最大借入可能額は</t>
    <rPh sb="4" eb="6">
      <t>サイダイ</t>
    </rPh>
    <rPh sb="6" eb="8">
      <t>カリイレ</t>
    </rPh>
    <rPh sb="8" eb="11">
      <t>カノウガク</t>
    </rPh>
    <phoneticPr fontId="70"/>
  </si>
  <si>
    <t>フラット</t>
    <phoneticPr fontId="8"/>
  </si>
  <si>
    <t>土地決済時移転登記料</t>
    <rPh sb="0" eb="2">
      <t>トチ</t>
    </rPh>
    <rPh sb="2" eb="4">
      <t>ケッサイ</t>
    </rPh>
    <rPh sb="4" eb="5">
      <t>ジ</t>
    </rPh>
    <rPh sb="5" eb="7">
      <t>イテン</t>
    </rPh>
    <rPh sb="7" eb="9">
      <t>トウキ</t>
    </rPh>
    <rPh sb="9" eb="10">
      <t>リョウ</t>
    </rPh>
    <phoneticPr fontId="70"/>
  </si>
  <si>
    <t>　住宅　①</t>
    <rPh sb="1" eb="3">
      <t>ジュウタク</t>
    </rPh>
    <phoneticPr fontId="70"/>
  </si>
  <si>
    <t>万円</t>
    <rPh sb="0" eb="2">
      <t>マンエン</t>
    </rPh>
    <phoneticPr fontId="70"/>
  </si>
  <si>
    <t>フラット実行時登記料</t>
    <rPh sb="4" eb="6">
      <t>ジッコウ</t>
    </rPh>
    <rPh sb="6" eb="7">
      <t>ジ</t>
    </rPh>
    <rPh sb="7" eb="9">
      <t>トウキ</t>
    </rPh>
    <rPh sb="9" eb="10">
      <t>リョウ</t>
    </rPh>
    <phoneticPr fontId="70"/>
  </si>
  <si>
    <t>　　　 ←フラット組込</t>
    <rPh sb="10" eb="11">
      <t>コミ</t>
    </rPh>
    <phoneticPr fontId="8"/>
  </si>
  <si>
    <t>　土地　②</t>
    <rPh sb="1" eb="3">
      <t>トチ</t>
    </rPh>
    <phoneticPr fontId="70"/>
  </si>
  <si>
    <t>つなぎ金利</t>
    <rPh sb="3" eb="5">
      <t>キンリ</t>
    </rPh>
    <phoneticPr fontId="70"/>
  </si>
  <si>
    <t>　　　合計（①＋②）</t>
    <rPh sb="3" eb="5">
      <t>ゴウケイ</t>
    </rPh>
    <phoneticPr fontId="70"/>
  </si>
  <si>
    <t>つなぎ手数料</t>
    <rPh sb="3" eb="6">
      <t>テスウリョウ</t>
    </rPh>
    <phoneticPr fontId="70"/>
  </si>
  <si>
    <t>フラット３５　ベストミックス最大借入可能額</t>
    <rPh sb="14" eb="16">
      <t>サイダイ</t>
    </rPh>
    <rPh sb="16" eb="18">
      <t>カリイレ</t>
    </rPh>
    <rPh sb="18" eb="21">
      <t>カノウガク</t>
    </rPh>
    <phoneticPr fontId="8"/>
  </si>
  <si>
    <t>火災保険料</t>
    <rPh sb="0" eb="2">
      <t>カサイ</t>
    </rPh>
    <rPh sb="2" eb="5">
      <t>ホケンリョウ</t>
    </rPh>
    <phoneticPr fontId="70"/>
  </si>
  <si>
    <t>　　　 ←フラット組込</t>
    <rPh sb="9" eb="11">
      <t>クミコミ</t>
    </rPh>
    <phoneticPr fontId="8"/>
  </si>
  <si>
    <t>引越代</t>
    <rPh sb="0" eb="1">
      <t>ヒ</t>
    </rPh>
    <rPh sb="1" eb="2">
      <t>コ</t>
    </rPh>
    <rPh sb="2" eb="3">
      <t>ダイ</t>
    </rPh>
    <phoneticPr fontId="70"/>
  </si>
  <si>
    <t>アプラス最大借入可能額</t>
    <rPh sb="4" eb="6">
      <t>サイダイ</t>
    </rPh>
    <rPh sb="6" eb="8">
      <t>カリイレ</t>
    </rPh>
    <rPh sb="8" eb="10">
      <t>カノウ</t>
    </rPh>
    <rPh sb="10" eb="11">
      <t>ガク</t>
    </rPh>
    <phoneticPr fontId="70"/>
  </si>
  <si>
    <t>仮住まい費用</t>
    <rPh sb="0" eb="1">
      <t>カリ</t>
    </rPh>
    <rPh sb="1" eb="2">
      <t>ズ</t>
    </rPh>
    <rPh sb="4" eb="6">
      <t>ヒヨウ</t>
    </rPh>
    <phoneticPr fontId="70"/>
  </si>
  <si>
    <t>　ふるふるパッケージ １割分</t>
    <rPh sb="12" eb="14">
      <t>ワリブン</t>
    </rPh>
    <phoneticPr fontId="70"/>
  </si>
  <si>
    <t>家具家電購入費等</t>
    <rPh sb="0" eb="2">
      <t>カグ</t>
    </rPh>
    <rPh sb="2" eb="4">
      <t>カデン</t>
    </rPh>
    <rPh sb="4" eb="7">
      <t>コウニュウヒ</t>
    </rPh>
    <rPh sb="7" eb="8">
      <t>トウ</t>
    </rPh>
    <phoneticPr fontId="70"/>
  </si>
  <si>
    <t>　ふるふるパッケージ 諸費用・リフォーム分</t>
    <rPh sb="11" eb="12">
      <t>ショ</t>
    </rPh>
    <rPh sb="12" eb="14">
      <t>ヒヨウ</t>
    </rPh>
    <rPh sb="20" eb="21">
      <t>ブン</t>
    </rPh>
    <phoneticPr fontId="70"/>
  </si>
  <si>
    <t>アプラス手数料・収入印紙</t>
    <rPh sb="4" eb="7">
      <t>テスウリョウ</t>
    </rPh>
    <rPh sb="8" eb="10">
      <t>シュウニュウ</t>
    </rPh>
    <rPh sb="10" eb="12">
      <t>インシ</t>
    </rPh>
    <phoneticPr fontId="70"/>
  </si>
  <si>
    <t>　　　合計</t>
    <rPh sb="3" eb="5">
      <t>ゴウケイ</t>
    </rPh>
    <phoneticPr fontId="70"/>
  </si>
  <si>
    <t>不動産取得税他</t>
    <rPh sb="0" eb="3">
      <t>フドウサン</t>
    </rPh>
    <rPh sb="3" eb="5">
      <t>シュトク</t>
    </rPh>
    <rPh sb="5" eb="6">
      <t>ゼイ</t>
    </rPh>
    <rPh sb="6" eb="7">
      <t>ホカ</t>
    </rPh>
    <phoneticPr fontId="70"/>
  </si>
  <si>
    <t>　マイホームプランワイド　　（30～300万円）</t>
    <rPh sb="21" eb="22">
      <t>マン</t>
    </rPh>
    <rPh sb="22" eb="23">
      <t>エン</t>
    </rPh>
    <phoneticPr fontId="70"/>
  </si>
  <si>
    <t>諸費用部分　小計</t>
    <rPh sb="0" eb="1">
      <t>ショ</t>
    </rPh>
    <rPh sb="1" eb="3">
      <t>ヒヨウ</t>
    </rPh>
    <rPh sb="3" eb="5">
      <t>ブブン</t>
    </rPh>
    <rPh sb="6" eb="8">
      <t>ショウケイ</t>
    </rPh>
    <phoneticPr fontId="8"/>
  </si>
  <si>
    <t>申込書手持金</t>
    <rPh sb="0" eb="2">
      <t>モウシコミ</t>
    </rPh>
    <rPh sb="2" eb="3">
      <t>ショ</t>
    </rPh>
    <rPh sb="3" eb="5">
      <t>テモチ</t>
    </rPh>
    <rPh sb="5" eb="6">
      <t>キン</t>
    </rPh>
    <phoneticPr fontId="8"/>
  </si>
  <si>
    <t>内、フラット対象諸費用</t>
    <rPh sb="0" eb="1">
      <t>ウチ</t>
    </rPh>
    <rPh sb="6" eb="8">
      <t>タイショウ</t>
    </rPh>
    <rPh sb="8" eb="9">
      <t>ショ</t>
    </rPh>
    <rPh sb="9" eb="11">
      <t>ヒヨウ</t>
    </rPh>
    <phoneticPr fontId="8"/>
  </si>
  <si>
    <t>自己資金</t>
    <rPh sb="0" eb="2">
      <t>ジコ</t>
    </rPh>
    <rPh sb="2" eb="4">
      <t>シキン</t>
    </rPh>
    <phoneticPr fontId="70"/>
  </si>
  <si>
    <t>合計</t>
    <rPh sb="0" eb="2">
      <t>ゴウケイ</t>
    </rPh>
    <phoneticPr fontId="70"/>
  </si>
  <si>
    <t>円</t>
    <rPh sb="0" eb="1">
      <t>エン</t>
    </rPh>
    <phoneticPr fontId="70"/>
  </si>
  <si>
    <t>　右の金額以上の自己資金が必要です</t>
    <rPh sb="1" eb="2">
      <t>ミギ</t>
    </rPh>
    <rPh sb="3" eb="5">
      <t>キンガク</t>
    </rPh>
    <rPh sb="5" eb="7">
      <t>イジョウ</t>
    </rPh>
    <rPh sb="8" eb="10">
      <t>ジコ</t>
    </rPh>
    <rPh sb="10" eb="12">
      <t>シキン</t>
    </rPh>
    <rPh sb="13" eb="15">
      <t>ヒツヨウ</t>
    </rPh>
    <phoneticPr fontId="70"/>
  </si>
  <si>
    <t>入力シートへ戻る</t>
  </si>
  <si>
    <t>つなぎ実行時</t>
    <rPh sb="3" eb="6">
      <t>ジッコウジ</t>
    </rPh>
    <phoneticPr fontId="8"/>
  </si>
  <si>
    <t>新</t>
  </si>
  <si>
    <t>借入対象住宅諸費用明細</t>
    <rPh sb="0" eb="2">
      <t>カリイレ</t>
    </rPh>
    <rPh sb="2" eb="4">
      <t>タイショウ</t>
    </rPh>
    <rPh sb="4" eb="6">
      <t>ジュウタク</t>
    </rPh>
    <rPh sb="6" eb="9">
      <t>ショヒヨウ</t>
    </rPh>
    <rPh sb="9" eb="11">
      <t>メイサイ</t>
    </rPh>
    <phoneticPr fontId="96"/>
  </si>
  <si>
    <t>諸　費　用　項　目</t>
    <rPh sb="0" eb="1">
      <t>モロ</t>
    </rPh>
    <rPh sb="2" eb="3">
      <t>ヒ</t>
    </rPh>
    <rPh sb="4" eb="5">
      <t>ヨウ</t>
    </rPh>
    <rPh sb="6" eb="7">
      <t>コウ</t>
    </rPh>
    <rPh sb="8" eb="9">
      <t>メ</t>
    </rPh>
    <phoneticPr fontId="96"/>
  </si>
  <si>
    <t>金額確認書類</t>
    <rPh sb="0" eb="2">
      <t>キンガク</t>
    </rPh>
    <rPh sb="2" eb="4">
      <t>カクニン</t>
    </rPh>
    <rPh sb="4" eb="5">
      <t>ショ</t>
    </rPh>
    <rPh sb="5" eb="6">
      <t>ルイ</t>
    </rPh>
    <phoneticPr fontId="96"/>
  </si>
  <si>
    <t>金　　額
（審査時）</t>
    <rPh sb="0" eb="1">
      <t>キン</t>
    </rPh>
    <rPh sb="3" eb="4">
      <t>ガク</t>
    </rPh>
    <rPh sb="6" eb="8">
      <t>シンサ</t>
    </rPh>
    <rPh sb="8" eb="9">
      <t>ジ</t>
    </rPh>
    <phoneticPr fontId="96"/>
  </si>
  <si>
    <t>金　　額
（実行時）</t>
    <rPh sb="0" eb="1">
      <t>キン</t>
    </rPh>
    <rPh sb="3" eb="4">
      <t>ガク</t>
    </rPh>
    <rPh sb="6" eb="8">
      <t>ジッコウ</t>
    </rPh>
    <rPh sb="8" eb="9">
      <t>ジ</t>
    </rPh>
    <phoneticPr fontId="96"/>
  </si>
  <si>
    <t>充足</t>
    <rPh sb="0" eb="2">
      <t>ジュウソク</t>
    </rPh>
    <phoneticPr fontId="96"/>
  </si>
  <si>
    <t>原本確認</t>
    <rPh sb="0" eb="2">
      <t>ゲンポン</t>
    </rPh>
    <rPh sb="2" eb="4">
      <t>カクニン</t>
    </rPh>
    <phoneticPr fontId="96"/>
  </si>
  <si>
    <t>収入印紙代
（売買契約書・請負契約書）</t>
    <rPh sb="0" eb="2">
      <t>シュウニュウ</t>
    </rPh>
    <rPh sb="2" eb="4">
      <t>インシ</t>
    </rPh>
    <rPh sb="4" eb="5">
      <t>ダイ</t>
    </rPh>
    <rPh sb="7" eb="9">
      <t>バイバイ</t>
    </rPh>
    <rPh sb="9" eb="11">
      <t>ケイヤク</t>
    </rPh>
    <rPh sb="11" eb="12">
      <t>ショ</t>
    </rPh>
    <rPh sb="13" eb="15">
      <t>ウケオイ</t>
    </rPh>
    <rPh sb="15" eb="17">
      <t>ケイヤク</t>
    </rPh>
    <rPh sb="17" eb="18">
      <t>ショ</t>
    </rPh>
    <phoneticPr fontId="96"/>
  </si>
  <si>
    <t>各契約書</t>
    <rPh sb="0" eb="1">
      <t>カク</t>
    </rPh>
    <rPh sb="1" eb="3">
      <t>ケイヤク</t>
    </rPh>
    <rPh sb="3" eb="4">
      <t>ショ</t>
    </rPh>
    <phoneticPr fontId="96"/>
  </si>
  <si>
    <t>円</t>
    <rPh sb="0" eb="1">
      <t>エン</t>
    </rPh>
    <phoneticPr fontId="96"/>
  </si>
  <si>
    <t>収入印紙代
（金銭消費貸借契約証書）</t>
    <rPh sb="0" eb="2">
      <t>シュウニュウ</t>
    </rPh>
    <rPh sb="2" eb="4">
      <t>インシ</t>
    </rPh>
    <rPh sb="4" eb="5">
      <t>ダイ</t>
    </rPh>
    <rPh sb="7" eb="9">
      <t>キンセン</t>
    </rPh>
    <rPh sb="9" eb="11">
      <t>ショウヒ</t>
    </rPh>
    <rPh sb="11" eb="13">
      <t>タイシャク</t>
    </rPh>
    <rPh sb="13" eb="15">
      <t>ケイヤク</t>
    </rPh>
    <rPh sb="15" eb="17">
      <t>ショウショ</t>
    </rPh>
    <phoneticPr fontId="96"/>
  </si>
  <si>
    <t>契約書</t>
    <rPh sb="0" eb="2">
      <t>ケイヤク</t>
    </rPh>
    <rPh sb="2" eb="3">
      <t>ショ</t>
    </rPh>
    <phoneticPr fontId="96"/>
  </si>
  <si>
    <t>フラット35融資手数料</t>
    <rPh sb="6" eb="8">
      <t>ユウシ</t>
    </rPh>
    <rPh sb="8" eb="11">
      <t>テスウリョウ</t>
    </rPh>
    <phoneticPr fontId="96"/>
  </si>
  <si>
    <t>×</t>
    <phoneticPr fontId="96"/>
  </si>
  <si>
    <t>ベストミックス融資手数料</t>
    <rPh sb="7" eb="9">
      <t>ユウシ</t>
    </rPh>
    <rPh sb="9" eb="12">
      <t>テスウリョウ</t>
    </rPh>
    <phoneticPr fontId="96"/>
  </si>
  <si>
    <t>つなぎ手数料</t>
    <rPh sb="3" eb="6">
      <t>テスウリョウ</t>
    </rPh>
    <phoneticPr fontId="96"/>
  </si>
  <si>
    <t>つなぎ融資利息</t>
    <rPh sb="3" eb="5">
      <t>ユウシ</t>
    </rPh>
    <rPh sb="5" eb="7">
      <t>リソク</t>
    </rPh>
    <phoneticPr fontId="96"/>
  </si>
  <si>
    <t>登記費用
（つなぎ利用）</t>
    <rPh sb="0" eb="2">
      <t>トウキ</t>
    </rPh>
    <rPh sb="2" eb="4">
      <t>ヒヨウ</t>
    </rPh>
    <rPh sb="9" eb="11">
      <t>リヨウ</t>
    </rPh>
    <phoneticPr fontId="96"/>
  </si>
  <si>
    <t>見積書・請求書等</t>
    <rPh sb="0" eb="2">
      <t>ミツモリ</t>
    </rPh>
    <rPh sb="2" eb="3">
      <t>ショ</t>
    </rPh>
    <rPh sb="4" eb="7">
      <t>セイキュウショ</t>
    </rPh>
    <rPh sb="7" eb="8">
      <t>トウ</t>
    </rPh>
    <phoneticPr fontId="96"/>
  </si>
  <si>
    <t>登記費用
（フラット利用）</t>
    <rPh sb="0" eb="2">
      <t>トウキ</t>
    </rPh>
    <rPh sb="2" eb="4">
      <t>ヒヨウ</t>
    </rPh>
    <rPh sb="10" eb="12">
      <t>リヨウ</t>
    </rPh>
    <phoneticPr fontId="96"/>
  </si>
  <si>
    <t>仲介手数料</t>
    <rPh sb="0" eb="2">
      <t>チュウカイ</t>
    </rPh>
    <rPh sb="2" eb="4">
      <t>テスウ</t>
    </rPh>
    <rPh sb="4" eb="5">
      <t>リョウ</t>
    </rPh>
    <phoneticPr fontId="96"/>
  </si>
  <si>
    <t>火災保険料</t>
    <rPh sb="0" eb="2">
      <t>カサイ</t>
    </rPh>
    <rPh sb="2" eb="4">
      <t>ホケン</t>
    </rPh>
    <rPh sb="4" eb="5">
      <t>リョウ</t>
    </rPh>
    <phoneticPr fontId="96"/>
  </si>
  <si>
    <t>見積書等</t>
    <rPh sb="0" eb="2">
      <t>ミツモリ</t>
    </rPh>
    <rPh sb="2" eb="3">
      <t>ショ</t>
    </rPh>
    <rPh sb="3" eb="4">
      <t>トウ</t>
    </rPh>
    <phoneticPr fontId="96"/>
  </si>
  <si>
    <t>適合証明費用</t>
    <rPh sb="0" eb="2">
      <t>テキゴウ</t>
    </rPh>
    <rPh sb="2" eb="4">
      <t>ショウメイ</t>
    </rPh>
    <rPh sb="4" eb="6">
      <t>ヒヨウ</t>
    </rPh>
    <phoneticPr fontId="96"/>
  </si>
  <si>
    <t>水道負担金</t>
    <rPh sb="0" eb="2">
      <t>スイドウ</t>
    </rPh>
    <rPh sb="2" eb="5">
      <t>フタンキン</t>
    </rPh>
    <phoneticPr fontId="96"/>
  </si>
  <si>
    <t>合計</t>
    <rPh sb="0" eb="2">
      <t>ゴウケイ</t>
    </rPh>
    <phoneticPr fontId="96"/>
  </si>
  <si>
    <t>土地</t>
    <rPh sb="0" eb="2">
      <t>トチ</t>
    </rPh>
    <phoneticPr fontId="96"/>
  </si>
  <si>
    <t>建物（本体）</t>
    <rPh sb="0" eb="2">
      <t>タテモノ</t>
    </rPh>
    <rPh sb="3" eb="5">
      <t>ホンタイ</t>
    </rPh>
    <phoneticPr fontId="96"/>
  </si>
  <si>
    <t>建物（追加①）</t>
    <rPh sb="0" eb="2">
      <t>タテモノ</t>
    </rPh>
    <rPh sb="3" eb="5">
      <t>ツイカ</t>
    </rPh>
    <phoneticPr fontId="96"/>
  </si>
  <si>
    <t>建物（追加②）</t>
    <rPh sb="0" eb="2">
      <t>タテモノ</t>
    </rPh>
    <rPh sb="3" eb="5">
      <t>ツイカ</t>
    </rPh>
    <phoneticPr fontId="96"/>
  </si>
  <si>
    <t>建物（追加③）</t>
    <rPh sb="0" eb="2">
      <t>タテモノ</t>
    </rPh>
    <rPh sb="3" eb="5">
      <t>ツイカ</t>
    </rPh>
    <phoneticPr fontId="96"/>
  </si>
  <si>
    <t>建物+土地+諸費用</t>
    <rPh sb="0" eb="2">
      <t>タテモノ</t>
    </rPh>
    <rPh sb="3" eb="5">
      <t>トチ</t>
    </rPh>
    <rPh sb="6" eb="9">
      <t>ショヒヨウ</t>
    </rPh>
    <phoneticPr fontId="96"/>
  </si>
  <si>
    <t>作成日</t>
    <rPh sb="0" eb="3">
      <t>サクセイビ</t>
    </rPh>
    <phoneticPr fontId="96"/>
  </si>
  <si>
    <t>申込時</t>
    <rPh sb="0" eb="2">
      <t>モウシコミ</t>
    </rPh>
    <rPh sb="2" eb="3">
      <t>トキ</t>
    </rPh>
    <phoneticPr fontId="96"/>
  </si>
  <si>
    <t>最終確定時</t>
    <rPh sb="0" eb="2">
      <t>サイシュウ</t>
    </rPh>
    <rPh sb="2" eb="4">
      <t>カクテイ</t>
    </rPh>
    <rPh sb="4" eb="5">
      <t>ジ</t>
    </rPh>
    <phoneticPr fontId="96"/>
  </si>
  <si>
    <t>確認者①</t>
    <rPh sb="0" eb="2">
      <t>カクニン</t>
    </rPh>
    <rPh sb="2" eb="3">
      <t>シャ</t>
    </rPh>
    <phoneticPr fontId="96"/>
  </si>
  <si>
    <t>確認者②</t>
    <rPh sb="0" eb="2">
      <t>カクニン</t>
    </rPh>
    <rPh sb="2" eb="3">
      <t>シャ</t>
    </rPh>
    <phoneticPr fontId="96"/>
  </si>
  <si>
    <t>（土地+建物総計）
=SUM(L26:Q30)</t>
    <rPh sb="1" eb="3">
      <t>トチ</t>
    </rPh>
    <rPh sb="4" eb="6">
      <t>タテモノ</t>
    </rPh>
    <rPh sb="6" eb="8">
      <t>ソウケイ</t>
    </rPh>
    <phoneticPr fontId="96"/>
  </si>
  <si>
    <t>フラット借入金額</t>
    <rPh sb="4" eb="6">
      <t>カリイレ</t>
    </rPh>
    <rPh sb="6" eb="8">
      <t>キンガク</t>
    </rPh>
    <phoneticPr fontId="96"/>
  </si>
  <si>
    <t>（土地+建物本体のみ）
=SUM(L26:Q30)</t>
    <rPh sb="1" eb="3">
      <t>トチ</t>
    </rPh>
    <rPh sb="4" eb="6">
      <t>タテモノ</t>
    </rPh>
    <rPh sb="6" eb="8">
      <t>ホンタイ</t>
    </rPh>
    <phoneticPr fontId="96"/>
  </si>
  <si>
    <t>（諸費用+建物総計）
=SUM(L26:Q29)</t>
    <rPh sb="1" eb="4">
      <t>ショヒヨウ</t>
    </rPh>
    <rPh sb="5" eb="7">
      <t>タテモノ</t>
    </rPh>
    <rPh sb="7" eb="9">
      <t>ソウケイ</t>
    </rPh>
    <phoneticPr fontId="96"/>
  </si>
  <si>
    <t>ベストミックス借入金額</t>
    <rPh sb="7" eb="9">
      <t>カリイレ</t>
    </rPh>
    <rPh sb="9" eb="11">
      <t>キンガク</t>
    </rPh>
    <phoneticPr fontId="96"/>
  </si>
  <si>
    <t>様</t>
    <rPh sb="0" eb="1">
      <t>サマ</t>
    </rPh>
    <phoneticPr fontId="96"/>
  </si>
  <si>
    <t>うち、諸費用</t>
    <rPh sb="3" eb="4">
      <t>ショ</t>
    </rPh>
    <rPh sb="4" eb="6">
      <t>ヒヨウ</t>
    </rPh>
    <phoneticPr fontId="96"/>
  </si>
  <si>
    <t>手持金</t>
    <rPh sb="0" eb="2">
      <t>テモチ</t>
    </rPh>
    <rPh sb="2" eb="3">
      <t>キン</t>
    </rPh>
    <phoneticPr fontId="96"/>
  </si>
  <si>
    <t>プロパーつなぎ費用計算シート＊保証はできません版</t>
    <rPh sb="7" eb="9">
      <t>ヒヨウ</t>
    </rPh>
    <rPh sb="9" eb="11">
      <t>ケイサン</t>
    </rPh>
    <rPh sb="15" eb="17">
      <t>ホショウ</t>
    </rPh>
    <rPh sb="23" eb="24">
      <t>バン</t>
    </rPh>
    <phoneticPr fontId="96"/>
  </si>
  <si>
    <t>使途</t>
    <rPh sb="0" eb="2">
      <t>シト</t>
    </rPh>
    <phoneticPr fontId="96"/>
  </si>
  <si>
    <t>つなぎ実行年月日</t>
    <rPh sb="3" eb="5">
      <t>ジッコウ</t>
    </rPh>
    <rPh sb="5" eb="8">
      <t>ネンガッピ</t>
    </rPh>
    <phoneticPr fontId="96"/>
  </si>
  <si>
    <t>～</t>
    <phoneticPr fontId="96"/>
  </si>
  <si>
    <t>完済年月日（F実行）</t>
    <rPh sb="0" eb="2">
      <t>カンサイ</t>
    </rPh>
    <rPh sb="2" eb="5">
      <t>ネンガッピ</t>
    </rPh>
    <rPh sb="7" eb="9">
      <t>ジッコウ</t>
    </rPh>
    <phoneticPr fontId="96"/>
  </si>
  <si>
    <t>元金</t>
    <rPh sb="0" eb="2">
      <t>ガンキン</t>
    </rPh>
    <phoneticPr fontId="96"/>
  </si>
  <si>
    <t>契約</t>
    <rPh sb="0" eb="2">
      <t>ケイヤク</t>
    </rPh>
    <phoneticPr fontId="96"/>
  </si>
  <si>
    <t>着工</t>
    <rPh sb="0" eb="2">
      <t>チャッコウ</t>
    </rPh>
    <phoneticPr fontId="96"/>
  </si>
  <si>
    <t>上棟</t>
    <rPh sb="0" eb="2">
      <t>ジョウトウ</t>
    </rPh>
    <phoneticPr fontId="96"/>
  </si>
  <si>
    <t>竣工</t>
    <rPh sb="0" eb="2">
      <t>シュンコウ</t>
    </rPh>
    <phoneticPr fontId="96"/>
  </si>
  <si>
    <t>適用金利</t>
    <rPh sb="0" eb="2">
      <t>テキヨウ</t>
    </rPh>
    <rPh sb="2" eb="4">
      <t>キンリ</t>
    </rPh>
    <phoneticPr fontId="96"/>
  </si>
  <si>
    <t>※振込手数料、建物つなぎ実行前の土地登記事項証明費用は含められないため除外しています</t>
    <rPh sb="1" eb="3">
      <t>フリコミ</t>
    </rPh>
    <rPh sb="3" eb="5">
      <t>テスウ</t>
    </rPh>
    <rPh sb="5" eb="6">
      <t>リョウ</t>
    </rPh>
    <rPh sb="7" eb="9">
      <t>タテモノ</t>
    </rPh>
    <rPh sb="12" eb="14">
      <t>ジッコウ</t>
    </rPh>
    <rPh sb="14" eb="15">
      <t>マエ</t>
    </rPh>
    <rPh sb="16" eb="18">
      <t>トチ</t>
    </rPh>
    <rPh sb="18" eb="20">
      <t>トウキ</t>
    </rPh>
    <rPh sb="20" eb="22">
      <t>ジコウ</t>
    </rPh>
    <rPh sb="22" eb="24">
      <t>ショウメイ</t>
    </rPh>
    <rPh sb="24" eb="26">
      <t>ヒヨウ</t>
    </rPh>
    <rPh sb="27" eb="28">
      <t>フク</t>
    </rPh>
    <rPh sb="35" eb="37">
      <t>ジョガイ</t>
    </rPh>
    <phoneticPr fontId="96"/>
  </si>
  <si>
    <t>利息</t>
    <rPh sb="0" eb="2">
      <t>リソク</t>
    </rPh>
    <phoneticPr fontId="96"/>
  </si>
  <si>
    <t>入力可箇所</t>
    <rPh sb="0" eb="2">
      <t>ニュウリョク</t>
    </rPh>
    <rPh sb="2" eb="3">
      <t>カ</t>
    </rPh>
    <rPh sb="3" eb="5">
      <t>カショ</t>
    </rPh>
    <phoneticPr fontId="96"/>
  </si>
  <si>
    <t>償還表は</t>
    <rPh sb="0" eb="2">
      <t>ショウカン</t>
    </rPh>
    <rPh sb="2" eb="3">
      <t>ヒョウ</t>
    </rPh>
    <phoneticPr fontId="8"/>
  </si>
  <si>
    <t>を印刷して下さい。</t>
    <rPh sb="1" eb="3">
      <t>インサツ</t>
    </rPh>
    <rPh sb="5" eb="6">
      <t>クダ</t>
    </rPh>
    <phoneticPr fontId="8"/>
  </si>
  <si>
    <r>
      <t>償還</t>
    </r>
    <r>
      <rPr>
        <sz val="11"/>
        <rFont val="ＭＳ Ｐゴシック"/>
        <family val="3"/>
        <charset val="128"/>
      </rPr>
      <t>計画表</t>
    </r>
    <rPh sb="0" eb="2">
      <t>ショウカン</t>
    </rPh>
    <rPh sb="2" eb="4">
      <t>ケイカク</t>
    </rPh>
    <rPh sb="4" eb="5">
      <t>ヒョウ</t>
    </rPh>
    <phoneticPr fontId="8"/>
  </si>
  <si>
    <t>期間</t>
    <rPh sb="0" eb="2">
      <t>キカン</t>
    </rPh>
    <phoneticPr fontId="8"/>
  </si>
  <si>
    <t>利率</t>
    <rPh sb="0" eb="2">
      <t>リリツ</t>
    </rPh>
    <phoneticPr fontId="8"/>
  </si>
  <si>
    <t>支払額</t>
    <rPh sb="0" eb="3">
      <t>シハライガク</t>
    </rPh>
    <phoneticPr fontId="8"/>
  </si>
  <si>
    <t>ＭＳＪフラット３５</t>
    <phoneticPr fontId="8"/>
  </si>
  <si>
    <t>（ボーナス払い）</t>
    <rPh sb="5" eb="6">
      <t>バラ</t>
    </rPh>
    <phoneticPr fontId="8"/>
  </si>
  <si>
    <t>フラット３５　（元利均等）</t>
    <rPh sb="8" eb="10">
      <t>ガンリ</t>
    </rPh>
    <rPh sb="10" eb="12">
      <t>キントウ</t>
    </rPh>
    <phoneticPr fontId="8"/>
  </si>
  <si>
    <t>ボーナス</t>
    <phoneticPr fontId="8"/>
  </si>
  <si>
    <t>f35</t>
    <phoneticPr fontId="8"/>
  </si>
  <si>
    <t>年間支払利息</t>
    <rPh sb="0" eb="2">
      <t>ネンカン</t>
    </rPh>
    <rPh sb="2" eb="4">
      <t>シハライ</t>
    </rPh>
    <rPh sb="4" eb="6">
      <t>リソク</t>
    </rPh>
    <phoneticPr fontId="8"/>
  </si>
  <si>
    <t>年間支払元金</t>
    <rPh sb="0" eb="2">
      <t>ネンカン</t>
    </rPh>
    <rPh sb="2" eb="4">
      <t>シハライ</t>
    </rPh>
    <rPh sb="4" eb="6">
      <t>ガンキン</t>
    </rPh>
    <phoneticPr fontId="8"/>
  </si>
  <si>
    <t>期末残高</t>
    <rPh sb="0" eb="2">
      <t>キマツ</t>
    </rPh>
    <rPh sb="2" eb="4">
      <t>ザンダカ</t>
    </rPh>
    <phoneticPr fontId="8"/>
  </si>
  <si>
    <t>合計残高</t>
    <rPh sb="0" eb="2">
      <t>ゴウケイ</t>
    </rPh>
    <rPh sb="2" eb="4">
      <t>ザンダカ</t>
    </rPh>
    <phoneticPr fontId="8"/>
  </si>
  <si>
    <t>１回目</t>
    <rPh sb="1" eb="3">
      <t>カイメ</t>
    </rPh>
    <phoneticPr fontId="8"/>
  </si>
  <si>
    <t>フラット３５　（元金均等）</t>
    <rPh sb="8" eb="10">
      <t>ガンキン</t>
    </rPh>
    <rPh sb="10" eb="12">
      <t>キントウ</t>
    </rPh>
    <phoneticPr fontId="8"/>
  </si>
  <si>
    <t>ap</t>
    <phoneticPr fontId="8"/>
  </si>
  <si>
    <t>□</t>
    <phoneticPr fontId="8"/>
  </si>
  <si>
    <t>更新履歴</t>
    <rPh sb="0" eb="2">
      <t>コウシン</t>
    </rPh>
    <rPh sb="2" eb="4">
      <t>リレキ</t>
    </rPh>
    <phoneticPr fontId="8"/>
  </si>
  <si>
    <t>バージョン</t>
    <phoneticPr fontId="8"/>
  </si>
  <si>
    <t>更新日</t>
    <rPh sb="0" eb="3">
      <t>コウシンビ</t>
    </rPh>
    <phoneticPr fontId="8"/>
  </si>
  <si>
    <t>更新内容</t>
    <rPh sb="0" eb="2">
      <t>コウシン</t>
    </rPh>
    <rPh sb="2" eb="4">
      <t>ナイヨウ</t>
    </rPh>
    <phoneticPr fontId="8"/>
  </si>
  <si>
    <t>Ver.5.00</t>
    <phoneticPr fontId="8"/>
  </si>
  <si>
    <t>　</t>
    <phoneticPr fontId="8"/>
  </si>
  <si>
    <t>・</t>
    <phoneticPr fontId="8"/>
  </si>
  <si>
    <t>MSJフラット35プラスシミュレーション対応</t>
    <rPh sb="20" eb="22">
      <t>タイオウ</t>
    </rPh>
    <phoneticPr fontId="8"/>
  </si>
  <si>
    <t>概算諸費用表示追加</t>
    <rPh sb="0" eb="2">
      <t>ガイサン</t>
    </rPh>
    <rPh sb="2" eb="5">
      <t>ショヒヨウ</t>
    </rPh>
    <rPh sb="5" eb="7">
      <t>ヒョウジ</t>
    </rPh>
    <rPh sb="7" eb="9">
      <t>ツイカ</t>
    </rPh>
    <phoneticPr fontId="8"/>
  </si>
  <si>
    <t>Ver.7.00</t>
    <phoneticPr fontId="8"/>
  </si>
  <si>
    <t>スルガ銀行つなぎ欄（STEP４）変更</t>
    <rPh sb="3" eb="5">
      <t>ギンコウ</t>
    </rPh>
    <rPh sb="8" eb="9">
      <t>ラン</t>
    </rPh>
    <rPh sb="16" eb="18">
      <t>ヘンコウ</t>
    </rPh>
    <phoneticPr fontId="8"/>
  </si>
  <si>
    <t>オリコつなぎ欄変更</t>
    <rPh sb="6" eb="7">
      <t>ラン</t>
    </rPh>
    <rPh sb="7" eb="9">
      <t>ヘンコウ</t>
    </rPh>
    <phoneticPr fontId="8"/>
  </si>
  <si>
    <t>オリコつなぎ融資手数料変更</t>
    <rPh sb="6" eb="8">
      <t>ユウシ</t>
    </rPh>
    <rPh sb="8" eb="11">
      <t>テスウリョウ</t>
    </rPh>
    <rPh sb="11" eb="13">
      <t>ヘンコウ</t>
    </rPh>
    <phoneticPr fontId="8"/>
  </si>
  <si>
    <t>団信特約料改定に対応</t>
    <rPh sb="0" eb="1">
      <t>ダン</t>
    </rPh>
    <rPh sb="1" eb="2">
      <t>シン</t>
    </rPh>
    <rPh sb="2" eb="4">
      <t>トクヤク</t>
    </rPh>
    <rPh sb="4" eb="5">
      <t>リョウ</t>
    </rPh>
    <rPh sb="5" eb="7">
      <t>カイテイ</t>
    </rPh>
    <rPh sb="8" eb="10">
      <t>タイオウ</t>
    </rPh>
    <phoneticPr fontId="8"/>
  </si>
  <si>
    <t>Ver.8.00</t>
    <phoneticPr fontId="8"/>
  </si>
  <si>
    <t>【フラット35】Sの10年優遇対応</t>
    <rPh sb="12" eb="13">
      <t>ネン</t>
    </rPh>
    <rPh sb="13" eb="15">
      <t>ユウグウ</t>
    </rPh>
    <rPh sb="15" eb="17">
      <t>タイオウ</t>
    </rPh>
    <phoneticPr fontId="8"/>
  </si>
  <si>
    <t>Ver.8.1</t>
    <phoneticPr fontId="8"/>
  </si>
  <si>
    <t>スーパーＳ（仮称）20年優遇対応</t>
    <rPh sb="6" eb="8">
      <t>カショウ</t>
    </rPh>
    <rPh sb="11" eb="12">
      <t>ネン</t>
    </rPh>
    <rPh sb="12" eb="14">
      <t>ユウグウ</t>
    </rPh>
    <rPh sb="14" eb="16">
      <t>タイオウ</t>
    </rPh>
    <phoneticPr fontId="8"/>
  </si>
  <si>
    <t>Ver.9</t>
    <phoneticPr fontId="8"/>
  </si>
  <si>
    <t>優遇期間（10／20年）切り替え</t>
    <rPh sb="0" eb="2">
      <t>ユウグウ</t>
    </rPh>
    <rPh sb="2" eb="4">
      <t>キカン</t>
    </rPh>
    <rPh sb="10" eb="11">
      <t>ネン</t>
    </rPh>
    <rPh sb="12" eb="13">
      <t>キ</t>
    </rPh>
    <rPh sb="14" eb="15">
      <t>カ</t>
    </rPh>
    <phoneticPr fontId="8"/>
  </si>
  <si>
    <t>【フラット50】利用対応</t>
    <rPh sb="8" eb="10">
      <t>リヨウ</t>
    </rPh>
    <rPh sb="10" eb="12">
      <t>タイオウ</t>
    </rPh>
    <phoneticPr fontId="8"/>
  </si>
  <si>
    <t>→算出する係数は下図のとおり</t>
    <rPh sb="1" eb="3">
      <t>サンシュツ</t>
    </rPh>
    <rPh sb="5" eb="7">
      <t>ケイスウ</t>
    </rPh>
    <rPh sb="8" eb="10">
      <t>カズ</t>
    </rPh>
    <phoneticPr fontId="8"/>
  </si>
  <si>
    <t>スルガ／オリコ分割比率変更</t>
    <rPh sb="7" eb="9">
      <t>ブンカツ</t>
    </rPh>
    <rPh sb="9" eb="11">
      <t>ヒリツ</t>
    </rPh>
    <rPh sb="11" eb="13">
      <t>ヘンコウ</t>
    </rPh>
    <phoneticPr fontId="8"/>
  </si>
  <si>
    <t>予定返済額など不具合を訂正</t>
    <rPh sb="0" eb="2">
      <t>ヨテイ</t>
    </rPh>
    <rPh sb="2" eb="4">
      <t>ヘンサイ</t>
    </rPh>
    <rPh sb="4" eb="5">
      <t>ガク</t>
    </rPh>
    <rPh sb="7" eb="10">
      <t>フグアイ</t>
    </rPh>
    <rPh sb="11" eb="13">
      <t>テイセイ</t>
    </rPh>
    <phoneticPr fontId="8"/>
  </si>
  <si>
    <t>Ver.9.2</t>
    <phoneticPr fontId="8"/>
  </si>
  <si>
    <t>Step.２／資金計画「フラット35」欄の不具合を訂正</t>
    <rPh sb="7" eb="9">
      <t>シキン</t>
    </rPh>
    <rPh sb="9" eb="11">
      <t>ケイカク</t>
    </rPh>
    <rPh sb="19" eb="20">
      <t>ラン</t>
    </rPh>
    <rPh sb="21" eb="24">
      <t>フグアイ</t>
    </rPh>
    <rPh sb="25" eb="27">
      <t>テイセイ</t>
    </rPh>
    <phoneticPr fontId="8"/>
  </si>
  <si>
    <t>フラット50チェックなしで、Ｓｔｅｐ２フラット50借入額欄に数値ある場合の不具合訂正</t>
    <rPh sb="25" eb="27">
      <t>カリイレ</t>
    </rPh>
    <rPh sb="27" eb="28">
      <t>ガク</t>
    </rPh>
    <rPh sb="28" eb="29">
      <t>ラン</t>
    </rPh>
    <rPh sb="30" eb="32">
      <t>スウチ</t>
    </rPh>
    <rPh sb="34" eb="36">
      <t>バアイ</t>
    </rPh>
    <rPh sb="37" eb="40">
      <t>フグアイ</t>
    </rPh>
    <rPh sb="40" eb="42">
      <t>テイセイ</t>
    </rPh>
    <phoneticPr fontId="8"/>
  </si>
  <si>
    <t>Ver.9.3</t>
    <phoneticPr fontId="8"/>
  </si>
  <si>
    <t>引渡完成保証コース別支払い割合を反映</t>
    <rPh sb="0" eb="2">
      <t>ヒキワタシ</t>
    </rPh>
    <rPh sb="2" eb="4">
      <t>カンセイ</t>
    </rPh>
    <rPh sb="4" eb="6">
      <t>ホショウ</t>
    </rPh>
    <rPh sb="9" eb="10">
      <t>ベツ</t>
    </rPh>
    <rPh sb="10" eb="12">
      <t>シハラ</t>
    </rPh>
    <rPh sb="13" eb="15">
      <t>ワリアイ</t>
    </rPh>
    <rPh sb="16" eb="18">
      <t>ハンエイ</t>
    </rPh>
    <phoneticPr fontId="8"/>
  </si>
  <si>
    <t>Ver.9.4</t>
    <phoneticPr fontId="8"/>
  </si>
  <si>
    <t>【フラット35】Sの1.0%引下げ</t>
    <rPh sb="14" eb="16">
      <t>ヒキサ</t>
    </rPh>
    <phoneticPr fontId="8"/>
  </si>
  <si>
    <t>つなぎ融資実行はR7.2.1</t>
    <rPh sb="3" eb="5">
      <t>ユウシ</t>
    </rPh>
    <rPh sb="5" eb="7">
      <t>ジッコウ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</si>
</sst>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quot;¥&quot;#,##0_);\(&quot;¥&quot;#,##0\)"/>
    <numFmt numFmtId="177" formatCode="&quot;¥&quot;#,##0_);[Red]\(&quot;¥&quot;#,##0\)"/>
    <numFmt numFmtId="178" formatCode="0_ "/>
    <numFmt numFmtId="179" formatCode="0.000%"/>
    <numFmt numFmtId="180" formatCode="#,##0_ "/>
    <numFmt numFmtId="181" formatCode="#,##0_);[Red]\(#,##0\)"/>
    <numFmt numFmtId="182" formatCode="#,##0&quot;年&quot;"/>
    <numFmt numFmtId="183" formatCode="#,##0&quot;万円&quot;"/>
    <numFmt numFmtId="184" formatCode="[$-411]ggge&quot;年&quot;m&quot;月&quot;d&quot;日&quot;;@"/>
    <numFmt numFmtId="185" formatCode="[$-411]ggge&quot;年&quot;m&quot;月&quot;d&quot;日提出&quot;"/>
    <numFmt numFmtId="186" formatCode="0&quot;年間&quot;"/>
    <numFmt numFmtId="187" formatCode="#,##0_ ;[Red]\-#,##0\ "/>
    <numFmt numFmtId="188" formatCode="0&quot;年後&quot;"/>
    <numFmt numFmtId="189" formatCode="&quot;¥&quot;#,##0;[Red]&quot;¥&quot;#,##0"/>
    <numFmt numFmtId="190" formatCode="0&quot;年&quot;"/>
    <numFmt numFmtId="191" formatCode="0.000_ "/>
    <numFmt numFmtId="192" formatCode="#,##0.000_ "/>
    <numFmt numFmtId="193" formatCode="#,##0;&quot;▲ &quot;#,##0"/>
    <numFmt numFmtId="194" formatCode="#,##0&quot;円&quot;"/>
    <numFmt numFmtId="195" formatCode="[$-411]ge\.m\.d\ \ h:mm"/>
    <numFmt numFmtId="196" formatCode="[$-411]ge\.m\.d;@"/>
    <numFmt numFmtId="197" formatCode="[$-F400]h:mm:ss\ AM/PM"/>
    <numFmt numFmtId="198" formatCode="&quot;(&quot;aaa&quot;)&quot;"/>
    <numFmt numFmtId="199" formatCode="yyyy/m/d;@"/>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HGSｺﾞｼｯｸE"/>
      <family val="3"/>
      <charset val="128"/>
    </font>
    <font>
      <b/>
      <sz val="11"/>
      <color indexed="10"/>
      <name val="ＭＳ Ｐゴシック"/>
      <family val="3"/>
      <charset val="128"/>
    </font>
    <font>
      <b/>
      <sz val="11"/>
      <name val="ＭＳ Ｐゴシック"/>
      <family val="3"/>
      <charset val="128"/>
    </font>
    <font>
      <sz val="8"/>
      <name val="ＭＳ Ｐゴシック"/>
      <family val="3"/>
      <charset val="128"/>
    </font>
    <font>
      <b/>
      <sz val="14"/>
      <name val="ＭＳ Ｐゴシック"/>
      <family val="3"/>
      <charset val="128"/>
    </font>
    <font>
      <sz val="10"/>
      <color indexed="9"/>
      <name val="ＭＳ Ｐゴシック"/>
      <family val="3"/>
      <charset val="128"/>
    </font>
    <font>
      <sz val="9"/>
      <color indexed="81"/>
      <name val="ＭＳ Ｐゴシック"/>
      <family val="3"/>
      <charset val="128"/>
    </font>
    <font>
      <sz val="18"/>
      <name val="ＭＳ Ｐゴシック"/>
      <family val="3"/>
      <charset val="128"/>
    </font>
    <font>
      <sz val="18"/>
      <name val="HGSｺﾞｼｯｸE"/>
      <family val="3"/>
      <charset val="128"/>
    </font>
    <font>
      <sz val="12"/>
      <name val="HGSｺﾞｼｯｸE"/>
      <family val="3"/>
      <charset val="128"/>
    </font>
    <font>
      <b/>
      <sz val="14"/>
      <color indexed="9"/>
      <name val="ＭＳ Ｐゴシック"/>
      <family val="3"/>
      <charset val="128"/>
    </font>
    <font>
      <b/>
      <sz val="10"/>
      <color indexed="9"/>
      <name val="ＭＳ Ｐゴシック"/>
      <family val="3"/>
      <charset val="128"/>
    </font>
    <font>
      <b/>
      <sz val="12"/>
      <color indexed="8"/>
      <name val="ＭＳ Ｐゴシック"/>
      <family val="3"/>
      <charset val="128"/>
    </font>
    <font>
      <b/>
      <sz val="12"/>
      <color indexed="10"/>
      <name val="ＭＳ Ｐゴシック"/>
      <family val="3"/>
      <charset val="128"/>
    </font>
    <font>
      <b/>
      <sz val="12"/>
      <name val="ＭＳ Ｐゴシック"/>
      <family val="3"/>
      <charset val="128"/>
    </font>
    <font>
      <sz val="6"/>
      <color indexed="63"/>
      <name val="HGPｺﾞｼｯｸE"/>
      <family val="3"/>
      <charset val="128"/>
    </font>
    <font>
      <sz val="11"/>
      <color indexed="8"/>
      <name val="ＭＳ Ｐゴシック"/>
      <family val="3"/>
      <charset val="128"/>
    </font>
    <font>
      <sz val="9"/>
      <color indexed="9"/>
      <name val="ＭＳ Ｐゴシック"/>
      <family val="3"/>
      <charset val="128"/>
    </font>
    <font>
      <sz val="11"/>
      <color theme="0"/>
      <name val="ＭＳ Ｐゴシック"/>
      <family val="3"/>
      <charset val="128"/>
    </font>
    <font>
      <sz val="18"/>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9"/>
      <name val="ＭＳ Ｐゴシック"/>
      <family val="3"/>
      <charset val="128"/>
    </font>
    <font>
      <b/>
      <sz val="9"/>
      <color indexed="81"/>
      <name val="ＭＳ Ｐゴシック"/>
      <family val="3"/>
      <charset val="128"/>
    </font>
    <font>
      <sz val="11"/>
      <name val="ＭＳ Ｐゴシック"/>
      <family val="1"/>
      <charset val="2"/>
    </font>
    <font>
      <sz val="11"/>
      <name val="ＭＳ Ｐゴシック"/>
      <family val="3"/>
      <charset val="128"/>
    </font>
    <font>
      <sz val="16"/>
      <name val="HGSｺﾞｼｯｸE"/>
      <family val="3"/>
      <charset val="128"/>
    </font>
    <font>
      <b/>
      <sz val="10"/>
      <name val="ＭＳ Ｐゴシック"/>
      <family val="3"/>
      <charset val="128"/>
    </font>
    <font>
      <b/>
      <sz val="14"/>
      <color indexed="9"/>
      <name val="HG丸ｺﾞｼｯｸM-PRO"/>
      <family val="3"/>
      <charset val="128"/>
    </font>
    <font>
      <sz val="10"/>
      <color indexed="9"/>
      <name val="Wingdings 3"/>
      <family val="1"/>
      <charset val="2"/>
    </font>
    <font>
      <sz val="10"/>
      <color indexed="9"/>
      <name val="HGPｺﾞｼｯｸE"/>
      <family val="3"/>
      <charset val="128"/>
    </font>
    <font>
      <b/>
      <sz val="10"/>
      <color indexed="18"/>
      <name val="ＭＳ Ｐゴシック"/>
      <family val="3"/>
      <charset val="128"/>
    </font>
    <font>
      <sz val="11"/>
      <color indexed="9"/>
      <name val="ＭＳ Ｐゴシック"/>
      <family val="3"/>
      <charset val="128"/>
    </font>
    <font>
      <sz val="10"/>
      <name val="ＭＳ Ｐゴシック"/>
      <family val="3"/>
      <charset val="128"/>
    </font>
    <font>
      <sz val="10"/>
      <name val="Wingdings 3"/>
      <family val="1"/>
      <charset val="2"/>
    </font>
    <font>
      <sz val="10"/>
      <name val="HGSｺﾞｼｯｸE"/>
      <family val="3"/>
      <charset val="128"/>
    </font>
    <font>
      <b/>
      <sz val="11"/>
      <color rgb="FFFF0000"/>
      <name val="ＭＳ Ｐゴシック"/>
      <family val="3"/>
      <charset val="128"/>
    </font>
    <font>
      <b/>
      <sz val="10"/>
      <color rgb="FFFF0000"/>
      <name val="ＭＳ Ｐゴシック"/>
      <family val="3"/>
      <charset val="128"/>
    </font>
    <font>
      <sz val="11"/>
      <color indexed="18"/>
      <name val="Wingdings 3"/>
      <family val="1"/>
      <charset val="2"/>
    </font>
    <font>
      <b/>
      <sz val="10"/>
      <name val="Wingdings 2"/>
      <family val="1"/>
      <charset val="2"/>
    </font>
    <font>
      <b/>
      <sz val="8"/>
      <name val="ＭＳ Ｐゴシック"/>
      <family val="3"/>
      <charset val="128"/>
    </font>
    <font>
      <sz val="11"/>
      <color rgb="FF0070C0"/>
      <name val="ＭＳ Ｐゴシック"/>
      <family val="3"/>
      <charset val="128"/>
    </font>
    <font>
      <sz val="10"/>
      <color indexed="12"/>
      <name val="ＭＳ Ｐゴシック"/>
      <family val="3"/>
      <charset val="128"/>
    </font>
    <font>
      <sz val="9"/>
      <color indexed="12"/>
      <name val="ＭＳ Ｐゴシック"/>
      <family val="3"/>
      <charset val="128"/>
    </font>
    <font>
      <b/>
      <sz val="10"/>
      <color indexed="12"/>
      <name val="ＭＳ Ｐゴシック"/>
      <family val="3"/>
      <charset val="128"/>
    </font>
    <font>
      <sz val="10"/>
      <color theme="0"/>
      <name val="ＭＳ Ｐゴシック"/>
      <family val="3"/>
      <charset val="128"/>
    </font>
    <font>
      <b/>
      <sz val="11"/>
      <color indexed="12"/>
      <name val="ＭＳ Ｐゴシック"/>
      <family val="3"/>
      <charset val="128"/>
    </font>
    <font>
      <b/>
      <sz val="11"/>
      <color rgb="FF0000FF"/>
      <name val="ＭＳ Ｐゴシック"/>
      <family val="3"/>
      <charset val="128"/>
    </font>
    <font>
      <b/>
      <sz val="11"/>
      <color indexed="9"/>
      <name val="ＭＳ Ｐゴシック"/>
      <family val="3"/>
      <charset val="128"/>
    </font>
    <font>
      <sz val="10"/>
      <color rgb="FF0000FF"/>
      <name val="ＭＳ Ｐゴシック"/>
      <family val="3"/>
      <charset val="128"/>
    </font>
    <font>
      <sz val="9"/>
      <color rgb="FFFF0000"/>
      <name val="ＭＳ Ｐゴシック"/>
      <family val="3"/>
      <charset val="128"/>
    </font>
    <font>
      <b/>
      <sz val="8"/>
      <color rgb="FFFF0000"/>
      <name val="ＭＳ Ｐゴシック"/>
      <family val="3"/>
      <charset val="128"/>
      <scheme val="minor"/>
    </font>
    <font>
      <sz val="10"/>
      <color indexed="9"/>
      <name val="HGSｺﾞｼｯｸE"/>
      <family val="3"/>
      <charset val="128"/>
    </font>
    <font>
      <b/>
      <sz val="14"/>
      <color indexed="10"/>
      <name val="ＭＳ Ｐゴシック"/>
      <family val="3"/>
      <charset val="128"/>
    </font>
    <font>
      <b/>
      <sz val="12"/>
      <color rgb="FFFF0000"/>
      <name val="ＭＳ Ｐゴシック"/>
      <family val="3"/>
      <charset val="128"/>
    </font>
    <font>
      <sz val="6"/>
      <color indexed="9"/>
      <name val="ＭＳ Ｐゴシック"/>
      <family val="3"/>
      <charset val="128"/>
    </font>
    <font>
      <sz val="10"/>
      <color indexed="63"/>
      <name val="Lr oSVbN"/>
      <family val="2"/>
    </font>
    <font>
      <sz val="10"/>
      <name val="Lr oSVbN"/>
      <family val="2"/>
    </font>
    <font>
      <b/>
      <sz val="11"/>
      <name val="Wingdings 2"/>
      <family val="1"/>
      <charset val="2"/>
    </font>
    <font>
      <sz val="9"/>
      <name val="ＭＳ Ｐゴシック"/>
      <family val="3"/>
      <charset val="128"/>
      <scheme val="minor"/>
    </font>
    <font>
      <sz val="6"/>
      <name val="ＭＳ Ｐゴシック"/>
      <family val="2"/>
      <charset val="128"/>
      <scheme val="minor"/>
    </font>
    <font>
      <sz val="8"/>
      <color rgb="FFFF0000"/>
      <name val="ＭＳ Ｐゴシック"/>
      <family val="3"/>
      <charset val="128"/>
      <scheme val="minor"/>
    </font>
    <font>
      <sz val="10"/>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11"/>
      <color rgb="FFFF0000"/>
      <name val="ＭＳ Ｐゴシック"/>
      <family val="2"/>
      <charset val="128"/>
      <scheme val="minor"/>
    </font>
    <font>
      <sz val="9"/>
      <color rgb="FFFF0000"/>
      <name val="ＭＳ Ｐゴシック"/>
      <family val="2"/>
      <charset val="128"/>
      <scheme val="minor"/>
    </font>
    <font>
      <sz val="12"/>
      <color rgb="FFFF0000"/>
      <name val="ＭＳ Ｐゴシック"/>
      <family val="2"/>
      <charset val="128"/>
      <scheme val="minor"/>
    </font>
    <font>
      <sz val="9"/>
      <color theme="1"/>
      <name val="ＭＳ Ｐゴシック"/>
      <family val="2"/>
      <charset val="128"/>
      <scheme val="minor"/>
    </font>
    <font>
      <sz val="9"/>
      <color theme="0" tint="-0.34998626667073579"/>
      <name val="ＭＳ Ｐゴシック"/>
      <family val="2"/>
      <charset val="128"/>
      <scheme val="minor"/>
    </font>
    <font>
      <sz val="9"/>
      <color theme="0" tint="-0.34998626667073579"/>
      <name val="ＭＳ Ｐゴシック"/>
      <family val="3"/>
      <charset val="128"/>
      <scheme val="minor"/>
    </font>
    <font>
      <sz val="9"/>
      <color rgb="FF0000FF"/>
      <name val="ＭＳ Ｐゴシック"/>
      <family val="3"/>
      <charset val="128"/>
    </font>
    <font>
      <sz val="8"/>
      <color rgb="FFFF0000"/>
      <name val="ＭＳ Ｐゴシック"/>
      <family val="3"/>
      <charset val="128"/>
    </font>
    <font>
      <b/>
      <sz val="10"/>
      <color rgb="FF0000FF"/>
      <name val="ＭＳ Ｐゴシック"/>
      <family val="3"/>
      <charset val="128"/>
    </font>
    <font>
      <sz val="10"/>
      <color theme="0"/>
      <name val="Wingdings 3"/>
      <family val="1"/>
      <charset val="2"/>
    </font>
    <font>
      <sz val="7"/>
      <name val="ＭＳ Ｐゴシック"/>
      <family val="3"/>
      <charset val="128"/>
    </font>
    <font>
      <sz val="10.5"/>
      <name val="ＭＳ Ｐゴシック"/>
      <family val="3"/>
      <charset val="128"/>
    </font>
    <font>
      <b/>
      <sz val="18"/>
      <color rgb="FFFF0000"/>
      <name val="ＭＳ Ｐゴシック"/>
      <family val="3"/>
      <charset val="128"/>
    </font>
    <font>
      <u/>
      <sz val="11"/>
      <color theme="0"/>
      <name val="ＭＳ Ｐゴシック"/>
      <family val="3"/>
      <charset val="128"/>
    </font>
    <font>
      <sz val="9"/>
      <color theme="1"/>
      <name val="ＭＳ Ｐゴシック"/>
      <family val="3"/>
      <charset val="128"/>
      <scheme val="minor"/>
    </font>
    <font>
      <sz val="10"/>
      <color theme="1"/>
      <name val="ＭＳ Ｐゴシック"/>
      <family val="3"/>
      <charset val="128"/>
    </font>
    <font>
      <sz val="11"/>
      <color theme="1"/>
      <name val="ＭＳ Ｐゴシック"/>
      <family val="2"/>
      <charset val="128"/>
    </font>
    <font>
      <sz val="11"/>
      <color theme="1"/>
      <name val="ＭＳ Ｐゴシック"/>
      <family val="2"/>
      <scheme val="minor"/>
    </font>
    <font>
      <b/>
      <sz val="14"/>
      <color theme="1"/>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2"/>
      <color theme="1"/>
      <name val="ＭＳ Ｐゴシック"/>
      <family val="2"/>
      <scheme val="minor"/>
    </font>
    <font>
      <b/>
      <sz val="20"/>
      <color theme="1"/>
      <name val="ＭＳ Ｐゴシック"/>
      <family val="3"/>
      <charset val="128"/>
      <scheme val="minor"/>
    </font>
    <font>
      <sz val="11"/>
      <color theme="1"/>
      <name val="ヒラギノ角ゴ ProN W3"/>
      <family val="2"/>
      <charset val="128"/>
    </font>
    <font>
      <sz val="11"/>
      <color theme="1"/>
      <name val="游ゴシック"/>
      <family val="2"/>
      <charset val="128"/>
    </font>
    <font>
      <sz val="10"/>
      <color theme="1"/>
      <name val="ヒラギノ角ゴ ProN W3"/>
      <family val="2"/>
      <charset val="128"/>
    </font>
    <font>
      <sz val="10"/>
      <color theme="1"/>
      <name val="ヒラギノ角ゴ ProN W3"/>
      <family val="3"/>
      <charset val="128"/>
    </font>
    <font>
      <sz val="12"/>
      <color theme="1"/>
      <name val="ヒラギノ角ゴ ProN W3"/>
      <family val="2"/>
      <charset val="128"/>
    </font>
    <font>
      <sz val="20"/>
      <color theme="1"/>
      <name val="ヒラギノ角ゴ ProN W3"/>
      <family val="3"/>
      <charset val="128"/>
    </font>
    <font>
      <sz val="20"/>
      <color theme="1"/>
      <name val="ヒラギノ角ゴ ProN W3"/>
      <family val="2"/>
      <charset val="128"/>
    </font>
    <font>
      <sz val="11"/>
      <color theme="1"/>
      <name val="小塚ゴシック Pr6N M"/>
      <family val="2"/>
      <charset val="128"/>
    </font>
    <font>
      <sz val="16"/>
      <color theme="1"/>
      <name val="Algerian"/>
      <family val="5"/>
    </font>
    <font>
      <sz val="22"/>
      <color theme="1"/>
      <name val="Algerian"/>
      <family val="5"/>
    </font>
    <font>
      <sz val="11"/>
      <color theme="1"/>
      <name val="Algerian"/>
      <family val="5"/>
    </font>
    <font>
      <sz val="11"/>
      <color theme="0"/>
      <name val="ＭＳ Ｐゴシック"/>
      <family val="2"/>
      <charset val="128"/>
      <scheme val="minor"/>
    </font>
    <font>
      <sz val="8"/>
      <color indexed="12"/>
      <name val="ＭＳ Ｐゴシック"/>
      <family val="3"/>
      <charset val="128"/>
    </font>
    <font>
      <sz val="11"/>
      <color rgb="FF000000"/>
      <name val="ＭＳ Ｐゴシック"/>
      <family val="3"/>
      <charset val="128"/>
    </font>
    <font>
      <sz val="9"/>
      <color rgb="FF000000"/>
      <name val="Meiryo UI"/>
      <family val="3"/>
      <charset val="128"/>
    </font>
  </fonts>
  <fills count="64">
    <fill>
      <patternFill patternType="none"/>
    </fill>
    <fill>
      <patternFill patternType="gray125"/>
    </fill>
    <fill>
      <patternFill patternType="gray125">
        <fgColor indexed="22"/>
        <bgColor indexed="9"/>
      </patternFill>
    </fill>
    <fill>
      <patternFill patternType="solid">
        <fgColor indexed="9"/>
        <bgColor indexed="64"/>
      </patternFill>
    </fill>
    <fill>
      <patternFill patternType="gray0625">
        <fgColor indexed="22"/>
        <bgColor indexed="9"/>
      </patternFill>
    </fill>
    <fill>
      <patternFill patternType="solid">
        <fgColor indexed="47"/>
        <bgColor indexed="64"/>
      </patternFill>
    </fill>
    <fill>
      <patternFill patternType="solid">
        <fgColor indexed="42"/>
        <bgColor indexed="64"/>
      </patternFill>
    </fill>
    <fill>
      <patternFill patternType="solid">
        <fgColor indexed="18"/>
        <bgColor indexed="64"/>
      </patternFill>
    </fill>
    <fill>
      <patternFill patternType="solid">
        <fgColor indexed="43"/>
        <bgColor indexed="64"/>
      </patternFill>
    </fill>
    <fill>
      <patternFill patternType="solid">
        <fgColor indexed="41"/>
        <bgColor indexed="64"/>
      </patternFill>
    </fill>
    <fill>
      <patternFill patternType="solid">
        <fgColor indexed="12"/>
        <bgColor indexed="64"/>
      </patternFill>
    </fill>
    <fill>
      <patternFill patternType="solid">
        <fgColor indexed="27"/>
        <bgColor indexed="64"/>
      </patternFill>
    </fill>
    <fill>
      <patternFill patternType="solid">
        <fgColor rgb="FFFFFF99"/>
        <bgColor indexed="64"/>
      </patternFill>
    </fill>
    <fill>
      <patternFill patternType="solid">
        <fgColor rgb="FFCCFFFF"/>
        <bgColor indexed="64"/>
      </patternFill>
    </fill>
    <fill>
      <patternFill patternType="solid">
        <fgColor rgb="FF0070C0"/>
        <bgColor indexed="64"/>
      </patternFill>
    </fill>
    <fill>
      <patternFill patternType="solid">
        <fgColor theme="4" tint="0.39994506668294322"/>
        <bgColor indexed="64"/>
      </patternFill>
    </fill>
    <fill>
      <patternFill patternType="solid">
        <fgColor theme="3" tint="0.599963377788628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6"/>
        <bgColor indexed="64"/>
      </patternFill>
    </fill>
    <fill>
      <patternFill patternType="gray125">
        <fgColor indexed="22"/>
        <bgColor rgb="FFFFFF99"/>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CFFFF"/>
        <bgColor indexed="22"/>
      </patternFill>
    </fill>
    <fill>
      <patternFill patternType="solid">
        <fgColor rgb="FFFFFF99"/>
        <bgColor indexed="22"/>
      </patternFill>
    </fill>
    <fill>
      <patternFill patternType="solid">
        <fgColor rgb="FFFFFFCC"/>
        <bgColor indexed="64"/>
      </patternFill>
    </fill>
    <fill>
      <patternFill patternType="solid">
        <fgColor rgb="FF66FFFF"/>
        <bgColor indexed="64"/>
      </patternFill>
    </fill>
    <fill>
      <patternFill patternType="solid">
        <fgColor rgb="FFCCECFF"/>
        <bgColor indexed="64"/>
      </patternFill>
    </fill>
    <fill>
      <patternFill patternType="gray125">
        <fgColor rgb="FFC0C0C0"/>
        <bgColor auto="1"/>
      </patternFill>
    </fill>
    <fill>
      <patternFill patternType="solid">
        <fgColor rgb="FFFFCCFF"/>
        <bgColor indexed="64"/>
      </patternFill>
    </fill>
    <fill>
      <patternFill patternType="solid">
        <fgColor rgb="FFCCFFCC"/>
        <bgColor indexed="64"/>
      </patternFill>
    </fill>
    <fill>
      <patternFill patternType="solid">
        <fgColor theme="0" tint="-0.14999847407452621"/>
        <bgColor indexed="64"/>
      </patternFill>
    </fill>
    <fill>
      <patternFill patternType="mediumGray">
        <fgColor rgb="FFCCFFFF"/>
        <bgColor auto="1"/>
      </patternFill>
    </fill>
    <fill>
      <patternFill patternType="mediumGray">
        <fgColor rgb="FFFFCCFF"/>
        <bgColor auto="1"/>
      </patternFill>
    </fill>
    <fill>
      <patternFill patternType="mediumGray">
        <fgColor rgb="FFFFFFCC"/>
        <bgColor auto="1"/>
      </patternFill>
    </fill>
    <fill>
      <patternFill patternType="mediumGray">
        <fgColor rgb="FFCCFFCC"/>
        <bgColor auto="1"/>
      </patternFill>
    </fill>
    <fill>
      <patternFill patternType="solid">
        <fgColor rgb="FF99CCFF"/>
        <bgColor indexed="64"/>
      </patternFill>
    </fill>
    <fill>
      <patternFill patternType="solid">
        <fgColor rgb="FFFFFF66"/>
        <bgColor indexed="64"/>
      </patternFill>
    </fill>
    <fill>
      <patternFill patternType="solid">
        <fgColor rgb="FF99FF99"/>
        <bgColor indexed="64"/>
      </patternFill>
    </fill>
    <fill>
      <patternFill patternType="mediumGray">
        <fgColor rgb="FFFFCCFF"/>
      </patternFill>
    </fill>
    <fill>
      <patternFill patternType="mediumGray">
        <fgColor rgb="FFFFFFCC"/>
      </patternFill>
    </fill>
    <fill>
      <patternFill patternType="mediumGray">
        <fgColor rgb="FFCCECFF"/>
      </patternFill>
    </fill>
    <fill>
      <patternFill patternType="gray125">
        <fgColor indexed="22"/>
        <bgColor rgb="FFCCFFFF"/>
      </patternFill>
    </fill>
    <fill>
      <patternFill patternType="gray125">
        <fgColor indexed="22"/>
        <bgColor rgb="FFFFCCFF"/>
      </patternFill>
    </fill>
    <fill>
      <patternFill patternType="gray125">
        <fgColor indexed="22"/>
        <bgColor rgb="FFFFFFCC"/>
      </patternFill>
    </fill>
    <fill>
      <patternFill patternType="gray125">
        <fgColor rgb="FFC0C0C0"/>
      </patternFill>
    </fill>
    <fill>
      <patternFill patternType="gray125">
        <fgColor rgb="FFC0C0C0"/>
        <bgColor rgb="FFCCFFFF"/>
      </patternFill>
    </fill>
    <fill>
      <patternFill patternType="gray125">
        <fgColor rgb="FFC0C0C0"/>
        <bgColor rgb="FFFFCCFF"/>
      </patternFill>
    </fill>
    <fill>
      <patternFill patternType="gray125">
        <fgColor rgb="FFC0C0C0"/>
        <bgColor rgb="FFFFFFCC"/>
      </patternFill>
    </fill>
    <fill>
      <patternFill patternType="mediumGray">
        <fgColor rgb="FFFFCC99"/>
        <bgColor auto="1"/>
      </patternFill>
    </fill>
    <fill>
      <patternFill patternType="darkGray">
        <fgColor rgb="FFFFFFCC"/>
        <bgColor auto="1"/>
      </patternFill>
    </fill>
    <fill>
      <patternFill patternType="darkGray">
        <fgColor rgb="FFFFCCFF"/>
        <bgColor auto="1"/>
      </patternFill>
    </fill>
    <fill>
      <patternFill patternType="darkGray">
        <fgColor rgb="FFCCFFFF"/>
        <bgColor auto="1"/>
      </patternFill>
    </fill>
    <fill>
      <patternFill patternType="lightGray">
        <fgColor rgb="FFFFCCFF"/>
      </patternFill>
    </fill>
    <fill>
      <patternFill patternType="solid">
        <fgColor rgb="FFCCCCFF"/>
        <bgColor indexed="64"/>
      </patternFill>
    </fill>
    <fill>
      <patternFill patternType="solid">
        <fgColor rgb="FFFFFF00"/>
        <bgColor indexed="64"/>
      </patternFill>
    </fill>
    <fill>
      <patternFill patternType="solid">
        <fgColor rgb="FFE7F1F9"/>
        <bgColor indexed="64"/>
      </patternFill>
    </fill>
    <fill>
      <patternFill patternType="solid">
        <fgColor rgb="FF000080"/>
        <bgColor indexed="64"/>
      </patternFill>
    </fill>
    <fill>
      <patternFill patternType="solid">
        <fgColor theme="0"/>
        <bgColor indexed="64"/>
      </patternFill>
    </fill>
  </fills>
  <borders count="293">
    <border>
      <left/>
      <right/>
      <top/>
      <bottom/>
      <diagonal/>
    </border>
    <border>
      <left/>
      <right/>
      <top/>
      <bottom style="double">
        <color indexed="64"/>
      </bottom>
      <diagonal/>
    </border>
    <border>
      <left/>
      <right/>
      <top/>
      <bottom style="dashed">
        <color indexed="55"/>
      </bottom>
      <diagonal/>
    </border>
    <border>
      <left style="medium">
        <color indexed="17"/>
      </left>
      <right/>
      <top/>
      <bottom/>
      <diagonal/>
    </border>
    <border>
      <left/>
      <right style="medium">
        <color indexed="17"/>
      </right>
      <top/>
      <bottom/>
      <diagonal/>
    </border>
    <border>
      <left style="medium">
        <color indexed="17"/>
      </left>
      <right/>
      <top/>
      <bottom style="medium">
        <color indexed="17"/>
      </bottom>
      <diagonal/>
    </border>
    <border>
      <left/>
      <right/>
      <top/>
      <bottom style="dotted">
        <color indexed="64"/>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style="dashed">
        <color indexed="64"/>
      </left>
      <right/>
      <top/>
      <bottom/>
      <diagonal/>
    </border>
    <border>
      <left style="thin">
        <color indexed="64"/>
      </left>
      <right/>
      <top/>
      <bottom style="medium">
        <color indexed="64"/>
      </bottom>
      <diagonal/>
    </border>
    <border>
      <left/>
      <right/>
      <top/>
      <bottom style="dashed">
        <color indexed="64"/>
      </bottom>
      <diagonal/>
    </border>
    <border>
      <left/>
      <right style="dashed">
        <color indexed="64"/>
      </right>
      <top/>
      <bottom style="dashed">
        <color indexed="64"/>
      </bottom>
      <diagonal/>
    </border>
    <border>
      <left/>
      <right/>
      <top style="hair">
        <color indexed="22"/>
      </top>
      <bottom/>
      <diagonal/>
    </border>
    <border>
      <left style="thin">
        <color indexed="22"/>
      </left>
      <right/>
      <top style="hair">
        <color indexed="22"/>
      </top>
      <bottom/>
      <diagonal/>
    </border>
    <border>
      <left/>
      <right/>
      <top/>
      <bottom style="hair">
        <color indexed="22"/>
      </bottom>
      <diagonal/>
    </border>
    <border>
      <left/>
      <right style="medium">
        <color indexed="64"/>
      </right>
      <top/>
      <bottom style="thin">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bottom style="thin">
        <color indexed="22"/>
      </bottom>
      <diagonal/>
    </border>
    <border diagonalUp="1">
      <left style="thin">
        <color indexed="22"/>
      </left>
      <right/>
      <top style="thin">
        <color indexed="22"/>
      </top>
      <bottom/>
      <diagonal style="thin">
        <color indexed="22"/>
      </diagonal>
    </border>
    <border diagonalUp="1">
      <left/>
      <right style="double">
        <color indexed="22"/>
      </right>
      <top style="thin">
        <color indexed="22"/>
      </top>
      <bottom/>
      <diagonal style="thin">
        <color indexed="22"/>
      </diagonal>
    </border>
    <border>
      <left/>
      <right style="medium">
        <color indexed="64"/>
      </right>
      <top/>
      <bottom/>
      <diagonal/>
    </border>
    <border>
      <left/>
      <right/>
      <top style="hair">
        <color indexed="22"/>
      </top>
      <bottom style="hair">
        <color indexed="22"/>
      </bottom>
      <diagonal/>
    </border>
    <border>
      <left style="thin">
        <color indexed="22"/>
      </left>
      <right/>
      <top style="hair">
        <color indexed="22"/>
      </top>
      <bottom style="hair">
        <color indexed="22"/>
      </bottom>
      <diagonal/>
    </border>
    <border>
      <left/>
      <right style="thin">
        <color indexed="22"/>
      </right>
      <top style="hair">
        <color indexed="22"/>
      </top>
      <bottom style="hair">
        <color indexed="22"/>
      </bottom>
      <diagonal/>
    </border>
    <border>
      <left/>
      <right style="double">
        <color indexed="22"/>
      </right>
      <top/>
      <bottom/>
      <diagonal/>
    </border>
    <border>
      <left/>
      <right/>
      <top/>
      <bottom style="medium">
        <color indexed="17"/>
      </bottom>
      <diagonal/>
    </border>
    <border>
      <left/>
      <right style="medium">
        <color indexed="17"/>
      </right>
      <top/>
      <bottom style="medium">
        <color indexed="17"/>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dotted">
        <color indexed="64"/>
      </bottom>
      <diagonal/>
    </border>
    <border>
      <left/>
      <right/>
      <top style="dashed">
        <color indexed="64"/>
      </top>
      <bottom/>
      <diagonal/>
    </border>
    <border>
      <left style="thin">
        <color indexed="22"/>
      </left>
      <right/>
      <top style="double">
        <color indexed="22"/>
      </top>
      <bottom style="thin">
        <color indexed="22"/>
      </bottom>
      <diagonal/>
    </border>
    <border>
      <left/>
      <right/>
      <top style="double">
        <color indexed="22"/>
      </top>
      <bottom style="thin">
        <color indexed="22"/>
      </bottom>
      <diagonal/>
    </border>
    <border>
      <left/>
      <right style="thin">
        <color indexed="22"/>
      </right>
      <top style="double">
        <color indexed="22"/>
      </top>
      <bottom style="thin">
        <color indexed="22"/>
      </bottom>
      <diagonal/>
    </border>
    <border>
      <left style="double">
        <color indexed="22"/>
      </left>
      <right/>
      <top/>
      <bottom style="thin">
        <color indexed="22"/>
      </bottom>
      <diagonal/>
    </border>
    <border diagonalUp="1">
      <left style="thin">
        <color indexed="22"/>
      </left>
      <right/>
      <top style="thin">
        <color indexed="22"/>
      </top>
      <bottom style="thin">
        <color indexed="22"/>
      </bottom>
      <diagonal style="thin">
        <color indexed="22"/>
      </diagonal>
    </border>
    <border diagonalUp="1">
      <left/>
      <right/>
      <top style="thin">
        <color indexed="22"/>
      </top>
      <bottom style="thin">
        <color indexed="22"/>
      </bottom>
      <diagonal style="thin">
        <color indexed="22"/>
      </diagonal>
    </border>
    <border diagonalUp="1">
      <left/>
      <right style="thin">
        <color indexed="22"/>
      </right>
      <top style="thin">
        <color indexed="22"/>
      </top>
      <bottom style="thin">
        <color indexed="22"/>
      </bottom>
      <diagonal style="thin">
        <color indexed="22"/>
      </diagonal>
    </border>
    <border>
      <left/>
      <right style="double">
        <color indexed="22"/>
      </right>
      <top/>
      <bottom style="thin">
        <color indexed="22"/>
      </bottom>
      <diagonal/>
    </border>
    <border>
      <left style="medium">
        <color indexed="64"/>
      </left>
      <right/>
      <top style="thin">
        <color indexed="64"/>
      </top>
      <bottom style="medium">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thin">
        <color indexed="64"/>
      </right>
      <top style="thin">
        <color theme="0" tint="-0.24994659260841701"/>
      </top>
      <bottom style="medium">
        <color auto="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indexed="64"/>
      </left>
      <right style="medium">
        <color auto="1"/>
      </right>
      <top style="thin">
        <color theme="0" tint="-0.24994659260841701"/>
      </top>
      <bottom style="medium">
        <color auto="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auto="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auto="1"/>
      </left>
      <right/>
      <top/>
      <bottom/>
      <diagonal/>
    </border>
    <border>
      <left style="medium">
        <color auto="1"/>
      </left>
      <right/>
      <top style="medium">
        <color auto="1"/>
      </top>
      <bottom style="thin">
        <color indexed="64"/>
      </bottom>
      <diagonal/>
    </border>
    <border>
      <left style="thin">
        <color indexed="64"/>
      </left>
      <right style="medium">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medium">
        <color auto="1"/>
      </bottom>
      <diagonal/>
    </border>
    <border>
      <left style="thin">
        <color auto="1"/>
      </left>
      <right style="medium">
        <color auto="1"/>
      </right>
      <top style="thin">
        <color theme="0" tint="-0.24994659260841701"/>
      </top>
      <bottom style="thin">
        <color theme="0" tint="-0.24994659260841701"/>
      </bottom>
      <diagonal/>
    </border>
    <border>
      <left style="thin">
        <color auto="1"/>
      </left>
      <right style="medium">
        <color auto="1"/>
      </right>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thin">
        <color theme="0" tint="-0.24994659260841701"/>
      </top>
      <bottom style="thin">
        <color indexed="22"/>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bottom style="thin">
        <color rgb="FFC0C0C0"/>
      </bottom>
      <diagonal/>
    </border>
    <border>
      <left/>
      <right style="thin">
        <color indexed="64"/>
      </right>
      <top style="double">
        <color indexed="64"/>
      </top>
      <bottom style="medium">
        <color indexed="64"/>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
      <left style="thin">
        <color rgb="FFC0C0C0"/>
      </left>
      <right/>
      <top style="thin">
        <color rgb="FFC0C0C0"/>
      </top>
      <bottom/>
      <diagonal/>
    </border>
    <border>
      <left/>
      <right style="thin">
        <color rgb="FFC0C0C0"/>
      </right>
      <top style="thin">
        <color rgb="FFC0C0C0"/>
      </top>
      <bottom/>
      <diagonal/>
    </border>
    <border>
      <left style="thin">
        <color rgb="FFC0C0C0"/>
      </left>
      <right/>
      <top/>
      <bottom style="thin">
        <color rgb="FFC0C0C0"/>
      </bottom>
      <diagonal/>
    </border>
    <border>
      <left/>
      <right style="thin">
        <color rgb="FFC0C0C0"/>
      </right>
      <top/>
      <bottom style="thin">
        <color rgb="FFC0C0C0"/>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hair">
        <color indexed="22"/>
      </top>
      <bottom style="thin">
        <color indexed="22"/>
      </bottom>
      <diagonal/>
    </border>
    <border>
      <left/>
      <right/>
      <top style="hair">
        <color indexed="22"/>
      </top>
      <bottom style="thin">
        <color indexed="22"/>
      </bottom>
      <diagonal/>
    </border>
    <border>
      <left/>
      <right/>
      <top/>
      <bottom style="thin">
        <color indexed="22"/>
      </bottom>
      <diagonal/>
    </border>
    <border>
      <left style="medium">
        <color indexed="64"/>
      </left>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thin">
        <color indexed="64"/>
      </bottom>
      <diagonal/>
    </border>
    <border>
      <left/>
      <right/>
      <top/>
      <bottom style="thin">
        <color indexed="18"/>
      </bottom>
      <diagonal/>
    </border>
    <border>
      <left/>
      <right style="thin">
        <color rgb="FFC0C0C0"/>
      </right>
      <top/>
      <bottom/>
      <diagonal/>
    </border>
    <border>
      <left style="medium">
        <color indexed="64"/>
      </left>
      <right/>
      <top/>
      <bottom style="thin">
        <color indexed="22"/>
      </bottom>
      <diagonal/>
    </border>
    <border>
      <left/>
      <right style="thin">
        <color rgb="FFC0C0C0"/>
      </right>
      <top/>
      <bottom style="thin">
        <color indexed="22"/>
      </bottom>
      <diagonal/>
    </border>
    <border>
      <left/>
      <right/>
      <top/>
      <bottom style="thin">
        <color theme="0" tint="-0.24994659260841701"/>
      </bottom>
      <diagonal/>
    </border>
    <border>
      <left/>
      <right style="thin">
        <color indexed="22"/>
      </right>
      <top/>
      <bottom style="thin">
        <color theme="0" tint="-0.24994659260841701"/>
      </bottom>
      <diagonal/>
    </border>
    <border>
      <left style="medium">
        <color indexed="64"/>
      </left>
      <right/>
      <top style="thin">
        <color rgb="FFC0C0C0"/>
      </top>
      <bottom style="thin">
        <color rgb="FFC0C0C0"/>
      </bottom>
      <diagonal/>
    </border>
    <border>
      <left/>
      <right style="thin">
        <color indexed="22"/>
      </right>
      <top style="thin">
        <color rgb="FFC0C0C0"/>
      </top>
      <bottom style="thin">
        <color rgb="FFC0C0C0"/>
      </bottom>
      <diagonal/>
    </border>
    <border>
      <left/>
      <right/>
      <top style="medium">
        <color indexed="64"/>
      </top>
      <bottom style="thin">
        <color indexed="22"/>
      </bottom>
      <diagonal/>
    </border>
    <border>
      <left style="thin">
        <color rgb="FFC0C0C0"/>
      </left>
      <right/>
      <top/>
      <bottom/>
      <diagonal/>
    </border>
    <border>
      <left style="thin">
        <color rgb="FFC0C0C0"/>
      </left>
      <right style="thin">
        <color rgb="FFC0C0C0"/>
      </right>
      <top style="thin">
        <color rgb="FFC0C0C0"/>
      </top>
      <bottom style="thin">
        <color indexed="64"/>
      </bottom>
      <diagonal/>
    </border>
    <border>
      <left style="thin">
        <color rgb="FFC0C0C0"/>
      </left>
      <right style="thin">
        <color rgb="FFC0C0C0"/>
      </right>
      <top style="thin">
        <color rgb="FFC0C0C0"/>
      </top>
      <bottom/>
      <diagonal/>
    </border>
    <border>
      <left style="thin">
        <color rgb="FFC0C0C0"/>
      </left>
      <right/>
      <top style="thin">
        <color rgb="FFC0C0C0"/>
      </top>
      <bottom style="thin">
        <color indexed="64"/>
      </bottom>
      <diagonal/>
    </border>
    <border>
      <left/>
      <right style="thin">
        <color rgb="FFC0C0C0"/>
      </right>
      <top style="thin">
        <color rgb="FFC0C0C0"/>
      </top>
      <bottom style="thin">
        <color indexed="64"/>
      </bottom>
      <diagonal/>
    </border>
    <border>
      <left/>
      <right/>
      <top style="thin">
        <color rgb="FFC0C0C0"/>
      </top>
      <bottom style="thin">
        <color indexed="64"/>
      </bottom>
      <diagonal/>
    </border>
    <border>
      <left/>
      <right/>
      <top style="medium">
        <color indexed="64"/>
      </top>
      <bottom style="medium">
        <color indexed="64"/>
      </bottom>
      <diagonal/>
    </border>
    <border>
      <left/>
      <right/>
      <top style="dotted">
        <color indexed="64"/>
      </top>
      <bottom/>
      <diagonal/>
    </border>
    <border>
      <left style="thin">
        <color indexed="22"/>
      </left>
      <right/>
      <top/>
      <bottom/>
      <diagonal/>
    </border>
    <border>
      <left style="double">
        <color indexed="22"/>
      </left>
      <right/>
      <top style="double">
        <color indexed="22"/>
      </top>
      <bottom style="thin">
        <color indexed="22"/>
      </bottom>
      <diagonal/>
    </border>
    <border>
      <left style="double">
        <color indexed="22"/>
      </left>
      <right/>
      <top style="double">
        <color indexed="22"/>
      </top>
      <bottom/>
      <diagonal/>
    </border>
    <border>
      <left/>
      <right style="thin">
        <color indexed="22"/>
      </right>
      <top style="double">
        <color indexed="22"/>
      </top>
      <bottom/>
      <diagonal/>
    </border>
    <border>
      <left style="thin">
        <color indexed="22"/>
      </left>
      <right/>
      <top/>
      <bottom style="medium">
        <color indexed="64"/>
      </bottom>
      <diagonal/>
    </border>
    <border>
      <left style="thin">
        <color indexed="22"/>
      </left>
      <right style="double">
        <color indexed="22"/>
      </right>
      <top/>
      <bottom style="thin">
        <color indexed="22"/>
      </bottom>
      <diagonal/>
    </border>
    <border>
      <left style="thin">
        <color indexed="64"/>
      </left>
      <right style="thin">
        <color indexed="64"/>
      </right>
      <top/>
      <bottom/>
      <diagonal/>
    </border>
    <border>
      <left style="medium">
        <color auto="1"/>
      </left>
      <right/>
      <top style="medium">
        <color auto="1"/>
      </top>
      <bottom/>
      <diagonal/>
    </border>
    <border>
      <left style="thin">
        <color indexed="64"/>
      </left>
      <right style="thin">
        <color indexed="64"/>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auto="1"/>
      </left>
      <right style="thin">
        <color theme="0" tint="-0.24994659260841701"/>
      </right>
      <top style="thin">
        <color indexed="64"/>
      </top>
      <bottom style="thin">
        <color theme="0" tint="-0.24994659260841701"/>
      </bottom>
      <diagonal/>
    </border>
    <border>
      <left/>
      <right/>
      <top style="double">
        <color auto="1"/>
      </top>
      <bottom/>
      <diagonal/>
    </border>
    <border>
      <left style="thin">
        <color indexed="22"/>
      </left>
      <right style="thin">
        <color indexed="22"/>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rgb="FF0070C0"/>
      </left>
      <right style="thin">
        <color rgb="FF0070C0"/>
      </right>
      <top style="thin">
        <color rgb="FF0070C0"/>
      </top>
      <bottom style="thin">
        <color rgb="FF0070C0"/>
      </bottom>
      <diagonal/>
    </border>
    <border>
      <left style="thin">
        <color rgb="FF00B050"/>
      </left>
      <right style="thin">
        <color rgb="FF00B050"/>
      </right>
      <top style="thin">
        <color rgb="FF00B050"/>
      </top>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rgb="FFFF0000"/>
      </bottom>
      <diagonal/>
    </border>
    <border>
      <left style="thin">
        <color indexed="22"/>
      </left>
      <right/>
      <top style="medium">
        <color indexed="64"/>
      </top>
      <bottom style="thin">
        <color indexed="22"/>
      </bottom>
      <diagonal/>
    </border>
    <border>
      <left/>
      <right style="thin">
        <color indexed="22"/>
      </right>
      <top style="medium">
        <color indexed="64"/>
      </top>
      <bottom style="thin">
        <color indexed="22"/>
      </bottom>
      <diagonal/>
    </border>
    <border>
      <left style="dotted">
        <color indexed="64"/>
      </left>
      <right/>
      <top style="medium">
        <color indexed="64"/>
      </top>
      <bottom style="thin">
        <color indexed="64"/>
      </bottom>
      <diagonal/>
    </border>
    <border>
      <left/>
      <right style="thin">
        <color indexed="22"/>
      </right>
      <top style="medium">
        <color indexed="64"/>
      </top>
      <bottom style="medium">
        <color indexed="64"/>
      </bottom>
      <diagonal/>
    </border>
    <border>
      <left style="dotted">
        <color auto="1"/>
      </left>
      <right/>
      <top style="double">
        <color indexed="64"/>
      </top>
      <bottom style="medium">
        <color indexed="64"/>
      </bottom>
      <diagonal/>
    </border>
    <border>
      <left/>
      <right style="dotted">
        <color auto="1"/>
      </right>
      <top style="double">
        <color indexed="64"/>
      </top>
      <bottom style="medium">
        <color indexed="64"/>
      </bottom>
      <diagonal/>
    </border>
    <border>
      <left/>
      <right style="medium">
        <color auto="1"/>
      </right>
      <top/>
      <bottom/>
      <diagonal/>
    </border>
    <border>
      <left/>
      <right style="medium">
        <color auto="1"/>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rgb="FF00B050"/>
      </left>
      <right style="thin">
        <color rgb="FF00B050"/>
      </right>
      <top style="thin">
        <color rgb="FF00B050"/>
      </top>
      <bottom style="thin">
        <color rgb="FF00B050"/>
      </bottom>
      <diagonal/>
    </border>
    <border>
      <left style="thin">
        <color indexed="22"/>
      </left>
      <right/>
      <top style="thin">
        <color indexed="22"/>
      </top>
      <bottom/>
      <diagonal/>
    </border>
    <border>
      <left/>
      <right style="thin">
        <color indexed="22"/>
      </right>
      <top style="thin">
        <color indexed="22"/>
      </top>
      <bottom/>
      <diagonal/>
    </border>
    <border>
      <left/>
      <right/>
      <top style="thin">
        <color indexed="22"/>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style="medium">
        <color indexed="64"/>
      </right>
      <top style="thin">
        <color indexed="22"/>
      </top>
      <bottom style="thin">
        <color indexed="22"/>
      </bottom>
      <diagonal/>
    </border>
    <border>
      <left style="thin">
        <color indexed="22"/>
      </left>
      <right/>
      <top style="thin">
        <color indexed="22"/>
      </top>
      <bottom style="hair">
        <color indexed="22"/>
      </bottom>
      <diagonal/>
    </border>
    <border>
      <left/>
      <right style="medium">
        <color indexed="64"/>
      </right>
      <top style="thin">
        <color indexed="22"/>
      </top>
      <bottom style="hair">
        <color indexed="22"/>
      </bottom>
      <diagonal/>
    </border>
    <border>
      <left style="medium">
        <color indexed="64"/>
      </left>
      <right/>
      <top style="thin">
        <color indexed="22"/>
      </top>
      <bottom/>
      <diagonal/>
    </border>
    <border>
      <left/>
      <right/>
      <top style="thin">
        <color indexed="22"/>
      </top>
      <bottom style="medium">
        <color indexed="64"/>
      </bottom>
      <diagonal/>
    </border>
    <border>
      <left/>
      <right/>
      <top style="thin">
        <color indexed="22"/>
      </top>
      <bottom style="thin">
        <color theme="0" tint="-0.24994659260841701"/>
      </bottom>
      <diagonal/>
    </border>
    <border>
      <left/>
      <right style="thin">
        <color indexed="22"/>
      </right>
      <top style="thin">
        <color indexed="22"/>
      </top>
      <bottom style="thin">
        <color theme="0" tint="-0.24994659260841701"/>
      </bottom>
      <diagonal/>
    </border>
    <border>
      <left style="medium">
        <color indexed="64"/>
      </left>
      <right style="thin">
        <color indexed="22"/>
      </right>
      <top style="thin">
        <color indexed="22"/>
      </top>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right/>
      <top style="thin">
        <color indexed="22"/>
      </top>
      <bottom style="double">
        <color indexed="22"/>
      </bottom>
      <diagonal/>
    </border>
    <border>
      <left/>
      <right style="double">
        <color indexed="22"/>
      </right>
      <top style="thin">
        <color indexed="22"/>
      </top>
      <bottom style="thin">
        <color indexed="22"/>
      </bottom>
      <diagonal/>
    </border>
    <border>
      <left style="double">
        <color indexed="22"/>
      </left>
      <right/>
      <top style="thin">
        <color indexed="22"/>
      </top>
      <bottom style="thin">
        <color indexed="22"/>
      </bottom>
      <diagonal/>
    </border>
    <border>
      <left style="double">
        <color indexed="22"/>
      </left>
      <right/>
      <top style="thin">
        <color indexed="22"/>
      </top>
      <bottom/>
      <diagonal/>
    </border>
    <border>
      <left style="thin">
        <color indexed="22"/>
      </left>
      <right style="double">
        <color indexed="22"/>
      </right>
      <top style="thin">
        <color indexed="22"/>
      </top>
      <bottom/>
      <diagonal/>
    </border>
    <border>
      <left style="thin">
        <color indexed="22"/>
      </left>
      <right style="thin">
        <color indexed="22"/>
      </right>
      <top style="thin">
        <color indexed="22"/>
      </top>
      <bottom style="double">
        <color indexed="22"/>
      </bottom>
      <diagonal/>
    </border>
    <border>
      <left style="thin">
        <color indexed="22"/>
      </left>
      <right/>
      <top style="thin">
        <color indexed="22"/>
      </top>
      <bottom style="double">
        <color indexed="22"/>
      </bottom>
      <diagonal/>
    </border>
    <border>
      <left/>
      <right style="thin">
        <color indexed="22"/>
      </right>
      <top style="thin">
        <color indexed="22"/>
      </top>
      <bottom style="double">
        <color indexed="22"/>
      </bottom>
      <diagonal/>
    </border>
    <border>
      <left style="double">
        <color indexed="22"/>
      </left>
      <right/>
      <top style="thin">
        <color indexed="22"/>
      </top>
      <bottom style="double">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auto="1"/>
      </top>
      <bottom style="thin">
        <color auto="1"/>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top style="thin">
        <color theme="0" tint="-0.24994659260841701"/>
      </top>
      <bottom style="thin">
        <color auto="1"/>
      </bottom>
      <diagonal/>
    </border>
    <border>
      <left/>
      <right style="thin">
        <color theme="0" tint="-0.24994659260841701"/>
      </right>
      <top style="thin">
        <color indexed="64"/>
      </top>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right style="thin">
        <color indexed="22"/>
      </right>
      <top/>
      <bottom/>
      <diagonal/>
    </border>
    <border>
      <left style="medium">
        <color indexed="64"/>
      </left>
      <right style="thin">
        <color indexed="22"/>
      </right>
      <top style="thin">
        <color indexed="22"/>
      </top>
      <bottom/>
      <diagonal/>
    </border>
    <border>
      <left/>
      <right/>
      <top style="thin">
        <color indexed="22"/>
      </top>
      <bottom style="thin">
        <color theme="0" tint="-0.24994659260841701"/>
      </bottom>
      <diagonal/>
    </border>
    <border>
      <left style="thin">
        <color auto="1"/>
      </left>
      <right/>
      <top style="thin">
        <color auto="1"/>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top style="thin">
        <color indexed="22"/>
      </top>
      <bottom style="thin">
        <color indexed="22"/>
      </bottom>
      <diagonal/>
    </border>
    <border>
      <left/>
      <right style="thin">
        <color rgb="FFC0C0C0"/>
      </right>
      <top style="thin">
        <color indexed="22"/>
      </top>
      <bottom style="thin">
        <color indexed="22"/>
      </bottom>
      <diagonal/>
    </border>
    <border>
      <left style="medium">
        <color indexed="64"/>
      </left>
      <right/>
      <top style="thin">
        <color indexed="22"/>
      </top>
      <bottom/>
      <diagonal/>
    </border>
    <border>
      <left/>
      <right style="medium">
        <color indexed="64"/>
      </right>
      <top style="thin">
        <color indexed="22"/>
      </top>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22"/>
      </left>
      <right style="thin">
        <color indexed="22"/>
      </right>
      <top style="thin">
        <color indexed="22"/>
      </top>
      <bottom/>
      <diagonal/>
    </border>
    <border>
      <left/>
      <right style="double">
        <color indexed="22"/>
      </right>
      <top style="thin">
        <color indexed="22"/>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style="thin">
        <color indexed="64"/>
      </bottom>
      <diagonal/>
    </border>
    <border>
      <left style="dotted">
        <color auto="1"/>
      </left>
      <right/>
      <top style="thin">
        <color auto="1"/>
      </top>
      <bottom style="thin">
        <color indexed="64"/>
      </bottom>
      <diagonal/>
    </border>
    <border>
      <left/>
      <right style="dotted">
        <color auto="1"/>
      </right>
      <top style="thin">
        <color auto="1"/>
      </top>
      <bottom style="thin">
        <color indexed="64"/>
      </bottom>
      <diagonal/>
    </border>
    <border>
      <left/>
      <right style="thin">
        <color auto="1"/>
      </right>
      <top/>
      <bottom/>
      <diagonal/>
    </border>
    <border>
      <left style="medium">
        <color indexed="64"/>
      </left>
      <right/>
      <top style="thin">
        <color indexed="64"/>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auto="1"/>
      </top>
      <bottom style="thin">
        <color theme="0" tint="-0.24994659260841701"/>
      </bottom>
      <diagonal/>
    </border>
    <border>
      <left/>
      <right style="thin">
        <color indexed="64"/>
      </right>
      <top style="thin">
        <color auto="1"/>
      </top>
      <bottom style="thin">
        <color theme="0" tint="-0.24994659260841701"/>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auto="1"/>
      </left>
      <right style="medium">
        <color auto="1"/>
      </right>
      <top/>
      <bottom/>
      <diagonal/>
    </border>
    <border>
      <left style="thin">
        <color auto="1"/>
      </left>
      <right style="medium">
        <color indexed="64"/>
      </right>
      <top style="thin">
        <color auto="1"/>
      </top>
      <bottom style="thin">
        <color theme="0" tint="-0.24994659260841701"/>
      </bottom>
      <diagonal/>
    </border>
    <border>
      <left style="thin">
        <color auto="1"/>
      </left>
      <right style="medium">
        <color auto="1"/>
      </right>
      <top style="thin">
        <color theme="0" tint="-0.24994659260841701"/>
      </top>
      <bottom style="thin">
        <color auto="1"/>
      </bottom>
      <diagonal/>
    </border>
    <border>
      <left/>
      <right style="thin">
        <color theme="0" tint="-0.24994659260841701"/>
      </right>
      <top style="thin">
        <color indexed="64"/>
      </top>
      <bottom style="thin">
        <color theme="0" tint="-0.24994659260841701"/>
      </bottom>
      <diagonal/>
    </border>
    <border>
      <left/>
      <right/>
      <top style="thin">
        <color indexed="64"/>
      </top>
      <bottom style="thin">
        <color indexed="64"/>
      </bottom>
      <diagonal/>
    </border>
    <border>
      <left/>
      <right style="thin">
        <color indexed="64"/>
      </right>
      <top style="thin">
        <color auto="1"/>
      </top>
      <bottom style="thin">
        <color indexed="64"/>
      </bottom>
      <diagonal/>
    </border>
  </borders>
  <cellStyleXfs count="10">
    <xf numFmtId="0" fontId="0" fillId="0" borderId="0">
      <alignment vertical="center"/>
    </xf>
    <xf numFmtId="38" fontId="7" fillId="0" borderId="0" applyFont="0" applyFill="0" applyBorder="0" applyAlignment="0" applyProtection="0">
      <alignment vertical="center"/>
    </xf>
    <xf numFmtId="38" fontId="26" fillId="0" borderId="0" applyFont="0" applyFill="0" applyBorder="0" applyAlignment="0" applyProtection="0">
      <alignment vertical="center"/>
    </xf>
    <xf numFmtId="177" fontId="7" fillId="0" borderId="0" applyFont="0" applyFill="0" applyBorder="0" applyAlignment="0" applyProtection="0">
      <alignment vertical="center"/>
    </xf>
    <xf numFmtId="0" fontId="6" fillId="0" borderId="0">
      <alignment vertical="center"/>
    </xf>
    <xf numFmtId="0" fontId="73" fillId="0" borderId="0" applyNumberFormat="0" applyFill="0" applyBorder="0" applyAlignment="0" applyProtection="0">
      <alignment vertical="center"/>
    </xf>
    <xf numFmtId="0" fontId="94" fillId="0" borderId="0"/>
    <xf numFmtId="38" fontId="94" fillId="0" borderId="0" applyFont="0" applyFill="0" applyBorder="0" applyAlignment="0" applyProtection="0">
      <alignment vertical="center"/>
    </xf>
    <xf numFmtId="0" fontId="5" fillId="0" borderId="0">
      <alignment vertical="center"/>
    </xf>
    <xf numFmtId="0" fontId="4" fillId="0" borderId="0">
      <alignment vertical="center"/>
    </xf>
  </cellStyleXfs>
  <cellXfs count="1670">
    <xf numFmtId="0" fontId="0" fillId="0" borderId="0" xfId="0">
      <alignment vertical="center"/>
    </xf>
    <xf numFmtId="0" fontId="19" fillId="0" borderId="0" xfId="0" applyFont="1">
      <alignment vertical="center"/>
    </xf>
    <xf numFmtId="0" fontId="9" fillId="0" borderId="0" xfId="0" applyFont="1" applyAlignment="1">
      <alignment horizontal="center" vertical="center" textRotation="255" shrinkToFit="1"/>
    </xf>
    <xf numFmtId="0" fontId="9" fillId="0" borderId="0" xfId="0" applyFont="1" applyAlignment="1">
      <alignment horizontal="center" vertical="center"/>
    </xf>
    <xf numFmtId="181" fontId="11" fillId="0" borderId="0" xfId="0" applyNumberFormat="1" applyFont="1" applyAlignment="1">
      <alignment horizontal="center" vertical="center"/>
    </xf>
    <xf numFmtId="0" fontId="10" fillId="0" borderId="0" xfId="0" applyFont="1">
      <alignmen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8" xfId="0" applyFont="1" applyBorder="1">
      <alignment vertical="center"/>
    </xf>
    <xf numFmtId="0" fontId="0" fillId="0" borderId="0" xfId="0" applyAlignment="1">
      <alignment horizontal="center" vertical="center"/>
    </xf>
    <xf numFmtId="0" fontId="9" fillId="0" borderId="0" xfId="0" applyFont="1" applyAlignment="1">
      <alignment horizontal="center" vertical="center" shrinkToFit="1"/>
    </xf>
    <xf numFmtId="0" fontId="25" fillId="0" borderId="24" xfId="0" applyFont="1" applyBorder="1">
      <alignment vertical="center"/>
    </xf>
    <xf numFmtId="0" fontId="8" fillId="0" borderId="25" xfId="0" applyFont="1" applyBorder="1" applyAlignment="1">
      <alignment horizontal="right" vertical="center"/>
    </xf>
    <xf numFmtId="0" fontId="8" fillId="0" borderId="0" xfId="0" applyFont="1">
      <alignment vertical="center"/>
    </xf>
    <xf numFmtId="184" fontId="0" fillId="0" borderId="0" xfId="0" applyNumberFormat="1">
      <alignment vertical="center"/>
    </xf>
    <xf numFmtId="56" fontId="0" fillId="0" borderId="0" xfId="0" applyNumberFormat="1">
      <alignment vertical="center"/>
    </xf>
    <xf numFmtId="0" fontId="8" fillId="0" borderId="9" xfId="0" applyFont="1" applyBorder="1" applyAlignment="1">
      <alignment horizontal="right" vertical="center"/>
    </xf>
    <xf numFmtId="0" fontId="8" fillId="0" borderId="27" xfId="0" applyFont="1" applyBorder="1">
      <alignment vertical="center"/>
    </xf>
    <xf numFmtId="0" fontId="13" fillId="0" borderId="28" xfId="0" applyFont="1" applyBorder="1">
      <alignment vertical="center"/>
    </xf>
    <xf numFmtId="0" fontId="19" fillId="0" borderId="0" xfId="0" applyFont="1" applyAlignment="1"/>
    <xf numFmtId="0" fontId="15" fillId="7" borderId="47" xfId="0" applyFont="1" applyFill="1" applyBorder="1" applyAlignment="1">
      <alignment horizontal="left" vertical="center"/>
    </xf>
    <xf numFmtId="0" fontId="0" fillId="0" borderId="48" xfId="0" applyBorder="1" applyAlignment="1">
      <alignment horizontal="center" vertical="center"/>
    </xf>
    <xf numFmtId="0" fontId="18" fillId="0" borderId="1" xfId="0" applyFont="1" applyBorder="1" applyAlignment="1">
      <alignment horizontal="center" vertical="center"/>
    </xf>
    <xf numFmtId="179" fontId="24" fillId="0" borderId="12" xfId="0" applyNumberFormat="1" applyFont="1" applyBorder="1" applyAlignment="1" applyProtection="1">
      <alignment horizontal="center" vertical="center"/>
      <protection locked="0"/>
    </xf>
    <xf numFmtId="0" fontId="0" fillId="0" borderId="0" xfId="0" applyAlignment="1">
      <alignment horizontal="left" vertical="top"/>
    </xf>
    <xf numFmtId="0" fontId="0" fillId="0" borderId="0" xfId="0" applyAlignment="1">
      <alignment vertical="top"/>
    </xf>
    <xf numFmtId="0" fontId="0" fillId="0" borderId="0" xfId="0" applyAlignment="1"/>
    <xf numFmtId="0" fontId="15" fillId="0" borderId="0" xfId="0" applyFont="1">
      <alignment vertical="center"/>
    </xf>
    <xf numFmtId="176" fontId="24" fillId="0" borderId="0" xfId="0" applyNumberFormat="1" applyFont="1" applyAlignment="1">
      <alignment vertical="center" shrinkToFit="1"/>
    </xf>
    <xf numFmtId="189" fontId="0" fillId="0" borderId="86" xfId="0" applyNumberFormat="1" applyBorder="1">
      <alignment vertical="center"/>
    </xf>
    <xf numFmtId="179" fontId="0" fillId="0" borderId="0" xfId="0" applyNumberFormat="1" applyAlignment="1">
      <alignment horizontal="center" vertical="center"/>
    </xf>
    <xf numFmtId="188" fontId="0" fillId="0" borderId="0" xfId="0" applyNumberFormat="1">
      <alignment vertical="center"/>
    </xf>
    <xf numFmtId="187" fontId="0" fillId="0" borderId="67" xfId="0" applyNumberFormat="1" applyBorder="1">
      <alignment vertical="center"/>
    </xf>
    <xf numFmtId="187" fontId="0" fillId="0" borderId="68" xfId="0" applyNumberFormat="1" applyBorder="1">
      <alignment vertical="center"/>
    </xf>
    <xf numFmtId="187" fontId="0" fillId="0" borderId="69" xfId="0" applyNumberFormat="1" applyBorder="1">
      <alignment vertical="center"/>
    </xf>
    <xf numFmtId="187" fontId="0" fillId="0" borderId="79" xfId="0" applyNumberFormat="1" applyBorder="1">
      <alignment vertical="center"/>
    </xf>
    <xf numFmtId="187" fontId="0" fillId="0" borderId="92" xfId="0" applyNumberFormat="1" applyBorder="1">
      <alignment vertical="center"/>
    </xf>
    <xf numFmtId="187" fontId="0" fillId="0" borderId="96" xfId="0" applyNumberFormat="1" applyBorder="1">
      <alignment vertical="center"/>
    </xf>
    <xf numFmtId="187" fontId="0" fillId="0" borderId="77" xfId="0" applyNumberFormat="1" applyBorder="1">
      <alignment vertical="center"/>
    </xf>
    <xf numFmtId="187" fontId="0" fillId="0" borderId="83" xfId="0" applyNumberFormat="1" applyBorder="1">
      <alignment vertical="center"/>
    </xf>
    <xf numFmtId="187" fontId="0" fillId="0" borderId="84" xfId="0" applyNumberFormat="1" applyBorder="1">
      <alignment vertical="center"/>
    </xf>
    <xf numFmtId="187" fontId="0" fillId="0" borderId="85" xfId="0" applyNumberFormat="1" applyBorder="1">
      <alignment vertical="center"/>
    </xf>
    <xf numFmtId="187" fontId="0" fillId="0" borderId="93" xfId="0" applyNumberFormat="1" applyBorder="1">
      <alignment vertical="center"/>
    </xf>
    <xf numFmtId="187" fontId="0" fillId="0" borderId="97" xfId="0" applyNumberFormat="1" applyBorder="1">
      <alignment vertical="center"/>
    </xf>
    <xf numFmtId="187" fontId="0" fillId="0" borderId="82" xfId="0" applyNumberFormat="1" applyBorder="1">
      <alignment vertical="center"/>
    </xf>
    <xf numFmtId="187" fontId="0" fillId="0" borderId="74" xfId="0" applyNumberFormat="1" applyBorder="1">
      <alignment vertical="center"/>
    </xf>
    <xf numFmtId="187" fontId="0" fillId="0" borderId="75" xfId="0" applyNumberFormat="1" applyBorder="1">
      <alignment vertical="center"/>
    </xf>
    <xf numFmtId="187" fontId="0" fillId="0" borderId="94" xfId="0" applyNumberFormat="1" applyBorder="1">
      <alignment vertical="center"/>
    </xf>
    <xf numFmtId="187" fontId="0" fillId="0" borderId="80" xfId="0" applyNumberFormat="1" applyBorder="1">
      <alignment vertical="center"/>
    </xf>
    <xf numFmtId="187" fontId="0" fillId="0" borderId="71" xfId="0" applyNumberFormat="1" applyBorder="1">
      <alignment vertical="center"/>
    </xf>
    <xf numFmtId="187" fontId="0" fillId="0" borderId="72" xfId="0" applyNumberFormat="1" applyBorder="1">
      <alignment vertical="center"/>
    </xf>
    <xf numFmtId="187" fontId="0" fillId="0" borderId="95" xfId="0" applyNumberFormat="1" applyBorder="1">
      <alignment vertical="center"/>
    </xf>
    <xf numFmtId="187" fontId="0" fillId="0" borderId="76" xfId="0" applyNumberFormat="1" applyBorder="1">
      <alignment vertical="center"/>
    </xf>
    <xf numFmtId="180" fontId="0" fillId="0" borderId="68" xfId="0" applyNumberFormat="1" applyBorder="1">
      <alignment vertical="center"/>
    </xf>
    <xf numFmtId="180" fontId="0" fillId="0" borderId="69" xfId="0" applyNumberFormat="1" applyBorder="1">
      <alignment vertical="center"/>
    </xf>
    <xf numFmtId="180" fontId="0" fillId="0" borderId="92" xfId="0" applyNumberFormat="1" applyBorder="1">
      <alignment vertical="center"/>
    </xf>
    <xf numFmtId="180" fontId="0" fillId="0" borderId="96" xfId="0" applyNumberFormat="1" applyBorder="1">
      <alignment vertical="center"/>
    </xf>
    <xf numFmtId="180" fontId="0" fillId="0" borderId="84" xfId="0" applyNumberFormat="1" applyBorder="1">
      <alignment vertical="center"/>
    </xf>
    <xf numFmtId="180" fontId="0" fillId="0" borderId="85" xfId="0" applyNumberFormat="1" applyBorder="1">
      <alignment vertical="center"/>
    </xf>
    <xf numFmtId="180" fontId="0" fillId="0" borderId="93" xfId="0" applyNumberFormat="1" applyBorder="1">
      <alignment vertical="center"/>
    </xf>
    <xf numFmtId="180" fontId="0" fillId="0" borderId="74" xfId="0" applyNumberFormat="1" applyBorder="1">
      <alignment vertical="center"/>
    </xf>
    <xf numFmtId="180" fontId="0" fillId="0" borderId="75" xfId="0" applyNumberFormat="1" applyBorder="1">
      <alignment vertical="center"/>
    </xf>
    <xf numFmtId="180" fontId="0" fillId="0" borderId="94" xfId="0" applyNumberFormat="1" applyBorder="1">
      <alignment vertical="center"/>
    </xf>
    <xf numFmtId="180" fontId="0" fillId="0" borderId="97" xfId="0" applyNumberFormat="1" applyBorder="1">
      <alignment vertical="center"/>
    </xf>
    <xf numFmtId="180" fontId="0" fillId="0" borderId="71" xfId="0" applyNumberFormat="1" applyBorder="1">
      <alignment vertical="center"/>
    </xf>
    <xf numFmtId="180" fontId="0" fillId="0" borderId="72" xfId="0" applyNumberFormat="1" applyBorder="1">
      <alignment vertical="center"/>
    </xf>
    <xf numFmtId="180" fontId="0" fillId="0" borderId="95" xfId="0" applyNumberFormat="1" applyBorder="1">
      <alignment vertical="center"/>
    </xf>
    <xf numFmtId="180" fontId="0" fillId="0" borderId="76" xfId="0" applyNumberFormat="1" applyBorder="1">
      <alignment vertical="center"/>
    </xf>
    <xf numFmtId="187" fontId="0" fillId="0" borderId="0" xfId="0" applyNumberFormat="1">
      <alignment vertical="center"/>
    </xf>
    <xf numFmtId="0" fontId="28" fillId="0" borderId="104" xfId="0" applyFont="1" applyBorder="1" applyAlignment="1">
      <alignment horizontal="center" vertical="center"/>
    </xf>
    <xf numFmtId="0" fontId="28" fillId="0" borderId="0" xfId="0" applyFont="1" applyAlignment="1">
      <alignment horizontal="center" vertical="center"/>
    </xf>
    <xf numFmtId="179" fontId="0" fillId="12" borderId="0" xfId="0" applyNumberFormat="1" applyFill="1">
      <alignment vertical="center"/>
    </xf>
    <xf numFmtId="0" fontId="0" fillId="0" borderId="105" xfId="0" applyBorder="1">
      <alignment vertical="center"/>
    </xf>
    <xf numFmtId="0" fontId="0" fillId="0" borderId="104" xfId="0" applyBorder="1" applyAlignment="1">
      <alignment vertical="center" textRotation="255" shrinkToFit="1"/>
    </xf>
    <xf numFmtId="179" fontId="0" fillId="0" borderId="0" xfId="0" applyNumberFormat="1">
      <alignment vertical="center"/>
    </xf>
    <xf numFmtId="180" fontId="0" fillId="12" borderId="0" xfId="0" applyNumberFormat="1" applyFill="1">
      <alignment vertical="center"/>
    </xf>
    <xf numFmtId="0" fontId="0" fillId="12" borderId="0" xfId="0" applyFill="1">
      <alignment vertical="center"/>
    </xf>
    <xf numFmtId="0" fontId="0" fillId="25" borderId="0" xfId="0" applyFill="1">
      <alignment vertical="center"/>
    </xf>
    <xf numFmtId="0" fontId="0" fillId="0" borderId="106" xfId="0" applyBorder="1">
      <alignment vertical="center"/>
    </xf>
    <xf numFmtId="0" fontId="0" fillId="0" borderId="107" xfId="0" applyBorder="1">
      <alignment vertical="center"/>
    </xf>
    <xf numFmtId="0" fontId="0" fillId="0" borderId="108" xfId="0" applyBorder="1">
      <alignment vertical="center"/>
    </xf>
    <xf numFmtId="0" fontId="0" fillId="26" borderId="0" xfId="0" applyFill="1">
      <alignment vertical="center"/>
    </xf>
    <xf numFmtId="180" fontId="0" fillId="26" borderId="0" xfId="0" applyNumberFormat="1" applyFill="1">
      <alignment vertical="center"/>
    </xf>
    <xf numFmtId="0" fontId="0" fillId="0" borderId="104" xfId="0" applyBorder="1">
      <alignment vertical="center"/>
    </xf>
    <xf numFmtId="180" fontId="0" fillId="0" borderId="0" xfId="0" applyNumberFormat="1">
      <alignment vertical="center"/>
    </xf>
    <xf numFmtId="0" fontId="0" fillId="0" borderId="104" xfId="0" applyBorder="1" applyAlignment="1">
      <alignment horizontal="center" vertical="center" textRotation="255"/>
    </xf>
    <xf numFmtId="181" fontId="0" fillId="25" borderId="0" xfId="0" applyNumberFormat="1" applyFill="1">
      <alignment vertical="center"/>
    </xf>
    <xf numFmtId="181" fontId="0" fillId="0" borderId="0" xfId="0" applyNumberFormat="1">
      <alignment vertical="center"/>
    </xf>
    <xf numFmtId="9" fontId="0" fillId="12" borderId="0" xfId="0" applyNumberFormat="1" applyFill="1">
      <alignment vertical="center"/>
    </xf>
    <xf numFmtId="179" fontId="0" fillId="26" borderId="0" xfId="0" applyNumberFormat="1" applyFill="1">
      <alignment vertical="center"/>
    </xf>
    <xf numFmtId="177" fontId="0" fillId="0" borderId="0" xfId="0" applyNumberFormat="1">
      <alignment vertical="center"/>
    </xf>
    <xf numFmtId="191" fontId="0" fillId="26" borderId="0" xfId="0" applyNumberFormat="1" applyFill="1">
      <alignment vertical="center"/>
    </xf>
    <xf numFmtId="181" fontId="0" fillId="26" borderId="0" xfId="0" applyNumberFormat="1" applyFill="1">
      <alignment vertical="center"/>
    </xf>
    <xf numFmtId="179" fontId="0" fillId="25" borderId="0" xfId="0" applyNumberFormat="1" applyFill="1">
      <alignment vertical="center"/>
    </xf>
    <xf numFmtId="0" fontId="0" fillId="0" borderId="0" xfId="0" applyAlignment="1">
      <alignment vertical="center" textRotation="255" shrinkToFit="1"/>
    </xf>
    <xf numFmtId="0" fontId="0" fillId="0" borderId="0" xfId="0" applyAlignment="1">
      <alignment horizontal="right" vertical="center"/>
    </xf>
    <xf numFmtId="0" fontId="0" fillId="0" borderId="112" xfId="0" applyBorder="1" applyAlignment="1">
      <alignment vertical="center" textRotation="255" shrinkToFit="1"/>
    </xf>
    <xf numFmtId="0" fontId="0" fillId="0" borderId="113" xfId="0" applyBorder="1" applyAlignment="1">
      <alignment vertical="center" textRotation="255" shrinkToFit="1"/>
    </xf>
    <xf numFmtId="0" fontId="0" fillId="0" borderId="113" xfId="0" applyBorder="1">
      <alignment vertical="center"/>
    </xf>
    <xf numFmtId="0" fontId="0" fillId="0" borderId="112" xfId="0" applyBorder="1">
      <alignment vertical="center"/>
    </xf>
    <xf numFmtId="0" fontId="0" fillId="0" borderId="112" xfId="0" applyBorder="1" applyAlignment="1">
      <alignment vertical="center" textRotation="255"/>
    </xf>
    <xf numFmtId="0" fontId="0" fillId="0" borderId="115" xfId="0" applyBorder="1">
      <alignment vertical="center"/>
    </xf>
    <xf numFmtId="0" fontId="0" fillId="0" borderId="116" xfId="0" applyBorder="1">
      <alignment vertical="center"/>
    </xf>
    <xf numFmtId="0" fontId="0" fillId="0" borderId="114" xfId="0" applyBorder="1" applyAlignment="1">
      <alignment vertical="center" textRotation="255" shrinkToFit="1"/>
    </xf>
    <xf numFmtId="0" fontId="31" fillId="0" borderId="0" xfId="0" applyFont="1">
      <alignment vertical="center"/>
    </xf>
    <xf numFmtId="0" fontId="32" fillId="0" borderId="0" xfId="0" applyFont="1" applyAlignment="1"/>
    <xf numFmtId="0" fontId="0" fillId="0" borderId="0" xfId="0" applyAlignment="1">
      <alignment horizontal="left" vertical="center"/>
    </xf>
    <xf numFmtId="187" fontId="0" fillId="0" borderId="70" xfId="0" applyNumberFormat="1" applyBorder="1">
      <alignment vertical="center"/>
    </xf>
    <xf numFmtId="0" fontId="0" fillId="0" borderId="102" xfId="0" applyBorder="1">
      <alignment vertical="center"/>
    </xf>
    <xf numFmtId="0" fontId="28" fillId="0" borderId="0" xfId="0" applyFont="1" applyAlignment="1">
      <alignment horizontal="center" vertical="center" wrapText="1"/>
    </xf>
    <xf numFmtId="10" fontId="0" fillId="12" borderId="0" xfId="0" applyNumberFormat="1" applyFill="1">
      <alignment vertical="center"/>
    </xf>
    <xf numFmtId="179" fontId="31" fillId="0" borderId="0" xfId="0" applyNumberFormat="1" applyFont="1">
      <alignment vertical="center"/>
    </xf>
    <xf numFmtId="0" fontId="0" fillId="30" borderId="0" xfId="0" applyFill="1">
      <alignment vertical="center"/>
    </xf>
    <xf numFmtId="0" fontId="35" fillId="0" borderId="0" xfId="0" applyFont="1">
      <alignment vertical="center"/>
    </xf>
    <xf numFmtId="0" fontId="36" fillId="0" borderId="1" xfId="0" applyFont="1" applyBorder="1" applyAlignment="1">
      <alignment horizontal="left" vertical="center"/>
    </xf>
    <xf numFmtId="0" fontId="41" fillId="0" borderId="0" xfId="0" applyFont="1">
      <alignment vertical="center"/>
    </xf>
    <xf numFmtId="0" fontId="42" fillId="3" borderId="0" xfId="0" applyFont="1" applyFill="1">
      <alignment vertical="center"/>
    </xf>
    <xf numFmtId="0" fontId="42" fillId="0" borderId="0" xfId="0" applyFont="1">
      <alignment vertical="center"/>
    </xf>
    <xf numFmtId="0" fontId="44" fillId="2" borderId="29" xfId="0" applyFont="1" applyFill="1" applyBorder="1" applyAlignment="1">
      <alignment vertical="center" wrapText="1"/>
    </xf>
    <xf numFmtId="0" fontId="45" fillId="0" borderId="0" xfId="0" applyFont="1" applyAlignment="1">
      <alignment horizontal="left" vertical="center"/>
    </xf>
    <xf numFmtId="0" fontId="48" fillId="0" borderId="0" xfId="0" applyFont="1">
      <alignment vertical="center"/>
    </xf>
    <xf numFmtId="0" fontId="43" fillId="0" borderId="0" xfId="0" applyFont="1">
      <alignment vertical="center"/>
    </xf>
    <xf numFmtId="0" fontId="39" fillId="7" borderId="0" xfId="0" applyFont="1" applyFill="1" applyAlignment="1">
      <alignment horizontal="center" vertical="center"/>
    </xf>
    <xf numFmtId="0" fontId="37" fillId="0" borderId="0" xfId="0" applyFont="1" applyAlignment="1">
      <alignment horizontal="center" vertical="center"/>
    </xf>
    <xf numFmtId="0" fontId="55" fillId="0" borderId="0" xfId="0" applyFont="1">
      <alignment vertical="center"/>
    </xf>
    <xf numFmtId="0" fontId="37" fillId="9" borderId="0" xfId="0" applyFont="1" applyFill="1">
      <alignment vertical="center"/>
    </xf>
    <xf numFmtId="0" fontId="37" fillId="0" borderId="0" xfId="0" applyFont="1">
      <alignment vertical="center"/>
    </xf>
    <xf numFmtId="0" fontId="58" fillId="0" borderId="0" xfId="0" applyFont="1">
      <alignment vertical="center"/>
    </xf>
    <xf numFmtId="0" fontId="46" fillId="0" borderId="0" xfId="0" applyFont="1" applyAlignment="1">
      <alignment vertical="top"/>
    </xf>
    <xf numFmtId="0" fontId="46" fillId="0" borderId="0" xfId="0" applyFont="1" applyAlignment="1">
      <alignment horizontal="center" vertical="center" shrinkToFit="1"/>
    </xf>
    <xf numFmtId="0" fontId="45" fillId="0" borderId="0" xfId="0" applyFont="1" applyAlignment="1">
      <alignment horizontal="center" vertical="center" textRotation="255" shrinkToFit="1"/>
    </xf>
    <xf numFmtId="0" fontId="62" fillId="0" borderId="0" xfId="0" applyFont="1" applyAlignment="1">
      <alignment horizontal="center" vertical="center"/>
    </xf>
    <xf numFmtId="181" fontId="63" fillId="0" borderId="0" xfId="0" applyNumberFormat="1" applyFont="1" applyAlignment="1">
      <alignment horizontal="center" vertical="center"/>
    </xf>
    <xf numFmtId="180" fontId="63" fillId="0" borderId="0" xfId="0" applyNumberFormat="1" applyFont="1" applyAlignment="1">
      <alignment horizontal="center" vertical="center"/>
    </xf>
    <xf numFmtId="178" fontId="45" fillId="0" borderId="0" xfId="0" applyNumberFormat="1" applyFont="1" applyAlignment="1">
      <alignment horizontal="right" vertical="center" shrinkToFit="1"/>
    </xf>
    <xf numFmtId="178" fontId="45" fillId="0" borderId="0" xfId="0" applyNumberFormat="1" applyFont="1" applyAlignment="1">
      <alignment horizontal="left" vertical="center" shrinkToFit="1"/>
    </xf>
    <xf numFmtId="0" fontId="45" fillId="0" borderId="6" xfId="0" applyFont="1" applyBorder="1" applyAlignment="1">
      <alignment horizontal="center" vertical="center" textRotation="255" shrinkToFit="1"/>
    </xf>
    <xf numFmtId="0" fontId="62" fillId="0" borderId="6" xfId="0" applyFont="1" applyBorder="1" applyAlignment="1">
      <alignment horizontal="center" vertical="center"/>
    </xf>
    <xf numFmtId="181" fontId="63" fillId="0" borderId="6" xfId="0" applyNumberFormat="1" applyFont="1" applyBorder="1" applyAlignment="1">
      <alignment horizontal="center" vertical="center"/>
    </xf>
    <xf numFmtId="180" fontId="63" fillId="0" borderId="6" xfId="0" applyNumberFormat="1" applyFont="1" applyBorder="1" applyAlignment="1">
      <alignment horizontal="center" vertical="center"/>
    </xf>
    <xf numFmtId="0" fontId="66" fillId="6" borderId="3" xfId="0" applyFont="1" applyFill="1" applyBorder="1" applyAlignment="1">
      <alignment horizontal="left" vertical="center"/>
    </xf>
    <xf numFmtId="0" fontId="67" fillId="6" borderId="3" xfId="0" applyFont="1" applyFill="1" applyBorder="1">
      <alignment vertical="center"/>
    </xf>
    <xf numFmtId="0" fontId="67" fillId="6" borderId="0" xfId="0" applyFont="1" applyFill="1">
      <alignment vertical="center"/>
    </xf>
    <xf numFmtId="0" fontId="9" fillId="0" borderId="0" xfId="0" applyFont="1" applyAlignment="1">
      <alignment horizontal="left" vertical="center"/>
    </xf>
    <xf numFmtId="0" fontId="9" fillId="0" borderId="125" xfId="0" applyFont="1" applyBorder="1" applyAlignment="1">
      <alignment vertical="center" shrinkToFit="1"/>
    </xf>
    <xf numFmtId="0" fontId="9" fillId="0" borderId="125" xfId="0" applyFont="1" applyBorder="1" applyAlignment="1">
      <alignment horizontal="right" vertical="center"/>
    </xf>
    <xf numFmtId="0" fontId="45" fillId="33" borderId="120" xfId="0" applyFont="1" applyFill="1" applyBorder="1">
      <alignment vertical="center"/>
    </xf>
    <xf numFmtId="0" fontId="45" fillId="33" borderId="129" xfId="0" applyFont="1" applyFill="1" applyBorder="1">
      <alignment vertical="center"/>
    </xf>
    <xf numFmtId="0" fontId="6" fillId="0" borderId="0" xfId="4">
      <alignment vertical="center"/>
    </xf>
    <xf numFmtId="180" fontId="6" fillId="0" borderId="0" xfId="4" applyNumberFormat="1">
      <alignment vertical="center"/>
    </xf>
    <xf numFmtId="0" fontId="9" fillId="0" borderId="0" xfId="4" applyFont="1" applyAlignment="1">
      <alignment horizontal="center" vertical="center"/>
    </xf>
    <xf numFmtId="0" fontId="6" fillId="13" borderId="0" xfId="4" applyFill="1">
      <alignment vertical="center"/>
    </xf>
    <xf numFmtId="0" fontId="9" fillId="0" borderId="0" xfId="4" applyFont="1">
      <alignment vertical="center"/>
    </xf>
    <xf numFmtId="0" fontId="9" fillId="0" borderId="0" xfId="4" applyFont="1" applyAlignment="1">
      <alignment horizontal="left" vertical="center"/>
    </xf>
    <xf numFmtId="0" fontId="6" fillId="0" borderId="0" xfId="4" applyProtection="1">
      <alignment vertical="center"/>
      <protection locked="0"/>
    </xf>
    <xf numFmtId="0" fontId="9" fillId="0" borderId="0" xfId="4" applyFont="1" applyAlignment="1" applyProtection="1">
      <alignment horizontal="left" vertical="center" wrapText="1"/>
      <protection locked="0"/>
    </xf>
    <xf numFmtId="181" fontId="6" fillId="13" borderId="0" xfId="4" applyNumberFormat="1" applyFill="1">
      <alignment vertical="center"/>
    </xf>
    <xf numFmtId="181" fontId="6" fillId="0" borderId="0" xfId="4" applyNumberFormat="1">
      <alignment vertical="center"/>
    </xf>
    <xf numFmtId="0" fontId="6" fillId="37" borderId="89" xfId="4" applyFill="1" applyBorder="1">
      <alignment vertical="center"/>
    </xf>
    <xf numFmtId="181" fontId="6" fillId="37" borderId="0" xfId="4" applyNumberFormat="1" applyFill="1">
      <alignment vertical="center"/>
    </xf>
    <xf numFmtId="0" fontId="6" fillId="37" borderId="132" xfId="4" applyFill="1" applyBorder="1">
      <alignment vertical="center"/>
    </xf>
    <xf numFmtId="181" fontId="6" fillId="37" borderId="6" xfId="4" applyNumberFormat="1" applyFill="1" applyBorder="1">
      <alignment vertical="center"/>
    </xf>
    <xf numFmtId="181" fontId="6" fillId="37" borderId="130" xfId="4" applyNumberFormat="1" applyFill="1" applyBorder="1">
      <alignment vertical="center"/>
    </xf>
    <xf numFmtId="181" fontId="6" fillId="38" borderId="0" xfId="4" applyNumberFormat="1" applyFill="1">
      <alignment vertical="center"/>
    </xf>
    <xf numFmtId="181" fontId="6" fillId="38" borderId="6" xfId="4" applyNumberFormat="1" applyFill="1" applyBorder="1">
      <alignment vertical="center"/>
    </xf>
    <xf numFmtId="181" fontId="6" fillId="39" borderId="130" xfId="4" applyNumberFormat="1" applyFill="1" applyBorder="1">
      <alignment vertical="center"/>
    </xf>
    <xf numFmtId="181" fontId="6" fillId="40" borderId="130" xfId="4" applyNumberFormat="1" applyFill="1" applyBorder="1">
      <alignment vertical="center"/>
    </xf>
    <xf numFmtId="0" fontId="6" fillId="37" borderId="0" xfId="4" applyFill="1">
      <alignment vertical="center"/>
    </xf>
    <xf numFmtId="0" fontId="6" fillId="37" borderId="6" xfId="4" applyFill="1" applyBorder="1">
      <alignment vertical="center"/>
    </xf>
    <xf numFmtId="0" fontId="6" fillId="37" borderId="130" xfId="4" applyFill="1" applyBorder="1">
      <alignment vertical="center"/>
    </xf>
    <xf numFmtId="0" fontId="6" fillId="38" borderId="0" xfId="4" applyFill="1">
      <alignment vertical="center"/>
    </xf>
    <xf numFmtId="0" fontId="6" fillId="38" borderId="6" xfId="4" applyFill="1" applyBorder="1">
      <alignment vertical="center"/>
    </xf>
    <xf numFmtId="0" fontId="6" fillId="39" borderId="130" xfId="4" applyFill="1" applyBorder="1">
      <alignment vertical="center"/>
    </xf>
    <xf numFmtId="0" fontId="6" fillId="40" borderId="130" xfId="4" applyFill="1" applyBorder="1">
      <alignment vertical="center"/>
    </xf>
    <xf numFmtId="0" fontId="6" fillId="0" borderId="89" xfId="4" applyBorder="1">
      <alignment vertical="center"/>
    </xf>
    <xf numFmtId="0" fontId="6" fillId="41" borderId="0" xfId="4" applyFill="1">
      <alignment vertical="center"/>
    </xf>
    <xf numFmtId="0" fontId="9" fillId="42" borderId="0" xfId="4" applyFont="1" applyFill="1" applyAlignment="1">
      <alignment horizontal="center" vertical="center"/>
    </xf>
    <xf numFmtId="180" fontId="6" fillId="0" borderId="130" xfId="4" applyNumberFormat="1" applyBorder="1">
      <alignment vertical="center"/>
    </xf>
    <xf numFmtId="180" fontId="6" fillId="13" borderId="0" xfId="4" applyNumberFormat="1" applyFill="1">
      <alignment vertical="center"/>
    </xf>
    <xf numFmtId="180" fontId="6" fillId="30" borderId="0" xfId="4" applyNumberFormat="1" applyFill="1">
      <alignment vertical="center"/>
    </xf>
    <xf numFmtId="180" fontId="6" fillId="34" borderId="0" xfId="4" applyNumberFormat="1" applyFill="1">
      <alignment vertical="center"/>
    </xf>
    <xf numFmtId="180" fontId="76" fillId="0" borderId="0" xfId="4" applyNumberFormat="1" applyFont="1">
      <alignment vertical="center"/>
    </xf>
    <xf numFmtId="0" fontId="76" fillId="0" borderId="0" xfId="4" applyFont="1">
      <alignment vertical="center"/>
    </xf>
    <xf numFmtId="0" fontId="78" fillId="0" borderId="0" xfId="4" applyFont="1" applyAlignment="1">
      <alignment horizontal="right" vertical="top"/>
    </xf>
    <xf numFmtId="0" fontId="77" fillId="0" borderId="0" xfId="4" applyFont="1">
      <alignment vertical="center"/>
    </xf>
    <xf numFmtId="181" fontId="6" fillId="46" borderId="130" xfId="4" applyNumberFormat="1" applyFill="1" applyBorder="1">
      <alignment vertical="center"/>
    </xf>
    <xf numFmtId="0" fontId="6" fillId="0" borderId="0" xfId="4" applyAlignment="1">
      <alignment vertical="top"/>
    </xf>
    <xf numFmtId="0" fontId="78" fillId="0" borderId="0" xfId="4" applyFont="1" applyAlignment="1">
      <alignment vertical="top"/>
    </xf>
    <xf numFmtId="0" fontId="79" fillId="0" borderId="0" xfId="4" applyFont="1">
      <alignment vertical="center"/>
    </xf>
    <xf numFmtId="0" fontId="80" fillId="0" borderId="0" xfId="4" applyFont="1">
      <alignment vertical="center"/>
    </xf>
    <xf numFmtId="0" fontId="82" fillId="0" borderId="0" xfId="4" applyFont="1">
      <alignment vertical="center"/>
    </xf>
    <xf numFmtId="0" fontId="81" fillId="0" borderId="89" xfId="4" applyFont="1" applyBorder="1" applyAlignment="1">
      <alignment horizontal="right" vertical="center"/>
    </xf>
    <xf numFmtId="0" fontId="13" fillId="0" borderId="0" xfId="0" applyFont="1" applyAlignment="1">
      <alignment horizontal="right"/>
    </xf>
    <xf numFmtId="0" fontId="12" fillId="0" borderId="0" xfId="0" applyFont="1">
      <alignment vertical="center"/>
    </xf>
    <xf numFmtId="180" fontId="73" fillId="0" borderId="0" xfId="5" applyNumberFormat="1" applyAlignment="1">
      <alignment horizontal="right" vertical="center"/>
    </xf>
    <xf numFmtId="0" fontId="6" fillId="0" borderId="38" xfId="4" applyBorder="1">
      <alignment vertical="center"/>
    </xf>
    <xf numFmtId="180" fontId="6" fillId="13" borderId="138" xfId="4" applyNumberFormat="1" applyFill="1" applyBorder="1">
      <alignment vertical="center"/>
    </xf>
    <xf numFmtId="180" fontId="6" fillId="13" borderId="139" xfId="4" applyNumberFormat="1" applyFill="1" applyBorder="1">
      <alignment vertical="center"/>
    </xf>
    <xf numFmtId="180" fontId="6" fillId="13" borderId="141" xfId="4" applyNumberFormat="1" applyFill="1" applyBorder="1">
      <alignment vertical="center"/>
    </xf>
    <xf numFmtId="180" fontId="6" fillId="32" borderId="141" xfId="4" applyNumberFormat="1" applyFill="1" applyBorder="1">
      <alignment vertical="center"/>
    </xf>
    <xf numFmtId="180" fontId="6" fillId="34" borderId="138" xfId="4" applyNumberFormat="1" applyFill="1" applyBorder="1">
      <alignment vertical="center"/>
    </xf>
    <xf numFmtId="180" fontId="6" fillId="34" borderId="139" xfId="4" applyNumberFormat="1" applyFill="1" applyBorder="1">
      <alignment vertical="center"/>
    </xf>
    <xf numFmtId="180" fontId="6" fillId="30" borderId="21" xfId="4" applyNumberFormat="1" applyFill="1" applyBorder="1">
      <alignment vertical="center"/>
    </xf>
    <xf numFmtId="180" fontId="6" fillId="35" borderId="21" xfId="4" applyNumberFormat="1" applyFill="1" applyBorder="1">
      <alignment vertical="center"/>
    </xf>
    <xf numFmtId="0" fontId="83" fillId="47" borderId="145" xfId="0" applyFont="1" applyFill="1" applyBorder="1" applyAlignment="1">
      <alignment horizontal="left" vertical="center"/>
    </xf>
    <xf numFmtId="0" fontId="13" fillId="0" borderId="0" xfId="0" applyFont="1" applyAlignment="1"/>
    <xf numFmtId="0" fontId="45" fillId="33" borderId="0" xfId="0" applyFont="1" applyFill="1">
      <alignment vertical="center"/>
    </xf>
    <xf numFmtId="0" fontId="45" fillId="33" borderId="143" xfId="0" applyFont="1" applyFill="1" applyBorder="1">
      <alignment vertical="center"/>
    </xf>
    <xf numFmtId="0" fontId="0" fillId="0" borderId="0" xfId="0" applyAlignment="1">
      <alignment vertical="center" wrapText="1"/>
    </xf>
    <xf numFmtId="0" fontId="9" fillId="0" borderId="123" xfId="0" applyFont="1" applyBorder="1">
      <alignment vertical="center"/>
    </xf>
    <xf numFmtId="10" fontId="69" fillId="51" borderId="122" xfId="0" applyNumberFormat="1" applyFont="1" applyFill="1" applyBorder="1" applyAlignment="1">
      <alignment horizontal="right" vertical="center"/>
    </xf>
    <xf numFmtId="10" fontId="69" fillId="51" borderId="124" xfId="0" applyNumberFormat="1" applyFont="1" applyFill="1" applyBorder="1" applyAlignment="1">
      <alignment horizontal="right" vertical="center"/>
    </xf>
    <xf numFmtId="10" fontId="69" fillId="53" borderId="123" xfId="0" applyNumberFormat="1" applyFont="1" applyFill="1" applyBorder="1" applyAlignment="1">
      <alignment horizontal="right" vertical="center"/>
    </xf>
    <xf numFmtId="10" fontId="69" fillId="53" borderId="124" xfId="0" applyNumberFormat="1" applyFont="1" applyFill="1" applyBorder="1" applyAlignment="1">
      <alignment horizontal="right" vertical="center"/>
    </xf>
    <xf numFmtId="10" fontId="69" fillId="53" borderId="156" xfId="0" applyNumberFormat="1" applyFont="1" applyFill="1" applyBorder="1" applyAlignment="1">
      <alignment horizontal="right" vertical="center"/>
    </xf>
    <xf numFmtId="10" fontId="69" fillId="53" borderId="155" xfId="0" applyNumberFormat="1" applyFont="1" applyFill="1" applyBorder="1" applyAlignment="1">
      <alignment horizontal="right" vertical="center"/>
    </xf>
    <xf numFmtId="180" fontId="77" fillId="0" borderId="0" xfId="4" applyNumberFormat="1" applyFont="1">
      <alignment vertical="center"/>
    </xf>
    <xf numFmtId="0" fontId="6" fillId="0" borderId="0" xfId="4" applyAlignment="1">
      <alignment horizontal="left" vertical="center"/>
    </xf>
    <xf numFmtId="181" fontId="6" fillId="13" borderId="158" xfId="4" applyNumberFormat="1" applyFill="1" applyBorder="1">
      <alignment vertical="center"/>
    </xf>
    <xf numFmtId="0" fontId="6" fillId="13" borderId="158" xfId="4" applyFill="1" applyBorder="1">
      <alignment vertical="center"/>
    </xf>
    <xf numFmtId="181" fontId="6" fillId="0" borderId="130" xfId="4" applyNumberFormat="1" applyBorder="1">
      <alignment vertical="center"/>
    </xf>
    <xf numFmtId="0" fontId="6" fillId="0" borderId="45" xfId="4" applyBorder="1">
      <alignment vertical="center"/>
    </xf>
    <xf numFmtId="0" fontId="9" fillId="0" borderId="0" xfId="4" applyFont="1" applyProtection="1">
      <alignment vertical="center"/>
      <protection locked="0"/>
    </xf>
    <xf numFmtId="0" fontId="37" fillId="5" borderId="137" xfId="0" applyFont="1" applyFill="1" applyBorder="1">
      <alignment vertical="center"/>
    </xf>
    <xf numFmtId="0" fontId="37" fillId="5" borderId="134" xfId="0" applyFont="1" applyFill="1" applyBorder="1">
      <alignment vertical="center"/>
    </xf>
    <xf numFmtId="0" fontId="0" fillId="0" borderId="130" xfId="0" applyBorder="1">
      <alignment vertical="center"/>
    </xf>
    <xf numFmtId="0" fontId="0" fillId="0" borderId="45" xfId="0" applyBorder="1">
      <alignment vertical="center"/>
    </xf>
    <xf numFmtId="177" fontId="24" fillId="0" borderId="11" xfId="0" applyNumberFormat="1" applyFont="1" applyBorder="1" applyAlignment="1">
      <alignment vertical="center" shrinkToFit="1"/>
    </xf>
    <xf numFmtId="177" fontId="24" fillId="0" borderId="89" xfId="0" applyNumberFormat="1" applyFont="1" applyBorder="1" applyAlignment="1">
      <alignment vertical="center" shrinkToFit="1"/>
    </xf>
    <xf numFmtId="177" fontId="24" fillId="0" borderId="130" xfId="0" applyNumberFormat="1" applyFont="1" applyBorder="1" applyAlignment="1">
      <alignment vertical="center" shrinkToFit="1"/>
    </xf>
    <xf numFmtId="177" fontId="24" fillId="0" borderId="130" xfId="0" applyNumberFormat="1" applyFont="1" applyBorder="1">
      <alignment vertical="center"/>
    </xf>
    <xf numFmtId="177" fontId="24" fillId="0" borderId="131" xfId="0" applyNumberFormat="1" applyFont="1" applyBorder="1">
      <alignment vertical="center"/>
    </xf>
    <xf numFmtId="183" fontId="0" fillId="0" borderId="0" xfId="0" applyNumberFormat="1">
      <alignment vertical="center"/>
    </xf>
    <xf numFmtId="189" fontId="0" fillId="0" borderId="0" xfId="0" applyNumberFormat="1">
      <alignment vertical="center"/>
    </xf>
    <xf numFmtId="0" fontId="0" fillId="0" borderId="138" xfId="0" applyBorder="1" applyAlignment="1">
      <alignment horizontal="center" vertical="center"/>
    </xf>
    <xf numFmtId="183" fontId="0" fillId="0" borderId="86" xfId="0" applyNumberFormat="1" applyBorder="1">
      <alignment vertical="center"/>
    </xf>
    <xf numFmtId="187" fontId="0" fillId="0" borderId="73" xfId="0" applyNumberFormat="1" applyBorder="1">
      <alignment vertical="center"/>
    </xf>
    <xf numFmtId="0" fontId="0" fillId="19" borderId="146" xfId="0" applyFill="1" applyBorder="1">
      <alignment vertical="center"/>
    </xf>
    <xf numFmtId="0" fontId="0" fillId="20" borderId="0" xfId="0" applyFill="1">
      <alignment vertical="center"/>
    </xf>
    <xf numFmtId="189" fontId="0" fillId="0" borderId="0" xfId="0" applyNumberFormat="1" applyAlignment="1">
      <alignment horizontal="center" vertical="center"/>
    </xf>
    <xf numFmtId="190" fontId="0" fillId="0" borderId="0" xfId="0" applyNumberFormat="1">
      <alignment vertical="center"/>
    </xf>
    <xf numFmtId="0" fontId="0" fillId="34" borderId="91" xfId="0" applyFill="1" applyBorder="1">
      <alignment vertical="center"/>
    </xf>
    <xf numFmtId="0" fontId="0" fillId="0" borderId="138" xfId="0" applyBorder="1">
      <alignment vertical="center"/>
    </xf>
    <xf numFmtId="187" fontId="0" fillId="0" borderId="138" xfId="0" applyNumberFormat="1" applyBorder="1">
      <alignment vertical="center"/>
    </xf>
    <xf numFmtId="0" fontId="0" fillId="13" borderId="91" xfId="0" applyFill="1" applyBorder="1">
      <alignment vertical="center"/>
    </xf>
    <xf numFmtId="0" fontId="0" fillId="30" borderId="91" xfId="0" applyFill="1" applyBorder="1">
      <alignment vertical="center"/>
    </xf>
    <xf numFmtId="0" fontId="60" fillId="0" borderId="0" xfId="0" applyFont="1" applyAlignment="1">
      <alignment horizontal="center" vertical="center" textRotation="255"/>
    </xf>
    <xf numFmtId="0" fontId="52" fillId="0" borderId="0" xfId="0" applyFont="1" applyAlignment="1">
      <alignment horizontal="left" vertical="center" shrinkToFit="1"/>
    </xf>
    <xf numFmtId="0" fontId="9" fillId="0" borderId="0" xfId="0" applyFont="1" applyAlignment="1">
      <alignment horizontal="center" vertical="center" textRotation="255"/>
    </xf>
    <xf numFmtId="0" fontId="37" fillId="0" borderId="0" xfId="0" applyFont="1" applyAlignment="1">
      <alignment horizontal="center" vertical="center" shrinkToFit="1"/>
    </xf>
    <xf numFmtId="0" fontId="88" fillId="0" borderId="73" xfId="0" applyFont="1" applyBorder="1" applyAlignment="1">
      <alignment horizontal="center" vertical="center"/>
    </xf>
    <xf numFmtId="0" fontId="88" fillId="0" borderId="74" xfId="0" applyFont="1" applyBorder="1" applyAlignment="1">
      <alignment horizontal="center" vertical="center"/>
    </xf>
    <xf numFmtId="0" fontId="88" fillId="0" borderId="75" xfId="0" applyFont="1" applyBorder="1" applyAlignment="1">
      <alignment horizontal="center" vertical="center"/>
    </xf>
    <xf numFmtId="0" fontId="88" fillId="0" borderId="0" xfId="0" applyFont="1" applyAlignment="1">
      <alignment horizontal="center" vertical="center"/>
    </xf>
    <xf numFmtId="0" fontId="88" fillId="0" borderId="170" xfId="0" applyFont="1" applyBorder="1" applyAlignment="1">
      <alignment horizontal="center" vertical="center"/>
    </xf>
    <xf numFmtId="0" fontId="88" fillId="0" borderId="65" xfId="0" applyFont="1" applyBorder="1" applyAlignment="1">
      <alignment horizontal="center" vertical="center"/>
    </xf>
    <xf numFmtId="0" fontId="88" fillId="0" borderId="66" xfId="0" applyFont="1" applyBorder="1" applyAlignment="1">
      <alignment horizontal="center" vertical="center"/>
    </xf>
    <xf numFmtId="0" fontId="88" fillId="0" borderId="98" xfId="0" applyFont="1" applyBorder="1" applyAlignment="1">
      <alignment horizontal="center" vertical="center"/>
    </xf>
    <xf numFmtId="0" fontId="88" fillId="0" borderId="97" xfId="0" applyFont="1" applyBorder="1" applyAlignment="1">
      <alignment horizontal="center" vertical="center"/>
    </xf>
    <xf numFmtId="0" fontId="9" fillId="0" borderId="0" xfId="0" applyFont="1">
      <alignment vertical="center"/>
    </xf>
    <xf numFmtId="181" fontId="23" fillId="0" borderId="0" xfId="0" applyNumberFormat="1" applyFont="1">
      <alignment vertical="center"/>
    </xf>
    <xf numFmtId="180" fontId="11" fillId="0" borderId="0" xfId="0" applyNumberFormat="1" applyFont="1">
      <alignment vertical="center"/>
    </xf>
    <xf numFmtId="0" fontId="80" fillId="0" borderId="0" xfId="4" applyFont="1" applyAlignment="1">
      <alignment horizontal="right" vertical="center"/>
    </xf>
    <xf numFmtId="0" fontId="91" fillId="0" borderId="0" xfId="4" applyFont="1" applyAlignment="1">
      <alignment horizontal="right" vertical="center"/>
    </xf>
    <xf numFmtId="0" fontId="77" fillId="46" borderId="11" xfId="4" applyFont="1" applyFill="1" applyBorder="1">
      <alignment vertical="center"/>
    </xf>
    <xf numFmtId="0" fontId="47" fillId="30" borderId="22" xfId="0" applyFont="1" applyFill="1" applyBorder="1">
      <alignment vertical="center"/>
    </xf>
    <xf numFmtId="0" fontId="15" fillId="0" borderId="89" xfId="0" applyFont="1" applyBorder="1" applyAlignment="1">
      <alignment horizontal="center" vertical="center"/>
    </xf>
    <xf numFmtId="196" fontId="9" fillId="0" borderId="173" xfId="0" applyNumberFormat="1" applyFont="1" applyBorder="1" applyAlignment="1">
      <alignment vertical="center" shrinkToFit="1"/>
    </xf>
    <xf numFmtId="196" fontId="9" fillId="0" borderId="174" xfId="0" applyNumberFormat="1" applyFont="1" applyBorder="1" applyAlignment="1">
      <alignment vertical="center" shrinkToFit="1"/>
    </xf>
    <xf numFmtId="0" fontId="0" fillId="0" borderId="63" xfId="0" applyBorder="1">
      <alignment vertical="center"/>
    </xf>
    <xf numFmtId="196" fontId="9" fillId="0" borderId="63" xfId="0" applyNumberFormat="1" applyFont="1" applyBorder="1">
      <alignment vertical="center"/>
    </xf>
    <xf numFmtId="0" fontId="52" fillId="2" borderId="159" xfId="0" applyFont="1" applyFill="1" applyBorder="1" applyAlignment="1">
      <alignment vertical="center" wrapText="1"/>
    </xf>
    <xf numFmtId="0" fontId="52" fillId="2" borderId="0" xfId="0" applyFont="1" applyFill="1">
      <alignment vertical="center"/>
    </xf>
    <xf numFmtId="38" fontId="56" fillId="2" borderId="0" xfId="1" applyFont="1" applyFill="1" applyBorder="1" applyAlignment="1">
      <alignment vertical="center" shrinkToFit="1"/>
    </xf>
    <xf numFmtId="9" fontId="0" fillId="0" borderId="0" xfId="0" applyNumberFormat="1">
      <alignment vertical="center"/>
    </xf>
    <xf numFmtId="0" fontId="94" fillId="0" borderId="0" xfId="6" applyAlignment="1">
      <alignment vertical="center"/>
    </xf>
    <xf numFmtId="0" fontId="101" fillId="0" borderId="0" xfId="6" applyFont="1" applyAlignment="1">
      <alignment vertical="center"/>
    </xf>
    <xf numFmtId="0" fontId="108" fillId="0" borderId="0" xfId="6" applyFont="1" applyAlignment="1">
      <alignment vertical="center"/>
    </xf>
    <xf numFmtId="0" fontId="108" fillId="0" borderId="0" xfId="6" applyFont="1" applyAlignment="1" applyProtection="1">
      <alignment vertical="center"/>
      <protection locked="0"/>
    </xf>
    <xf numFmtId="179" fontId="50" fillId="4" borderId="120" xfId="0" applyNumberFormat="1" applyFont="1" applyFill="1" applyBorder="1" applyAlignment="1">
      <alignment horizontal="right" vertical="top"/>
    </xf>
    <xf numFmtId="0" fontId="0" fillId="0" borderId="0" xfId="0" applyAlignment="1">
      <alignment vertical="center" textRotation="255"/>
    </xf>
    <xf numFmtId="0" fontId="73" fillId="0" borderId="0" xfId="5" applyAlignment="1" applyProtection="1">
      <alignment horizontal="center" vertical="center"/>
      <protection locked="0"/>
    </xf>
    <xf numFmtId="179" fontId="0" fillId="0" borderId="65" xfId="0" applyNumberFormat="1" applyBorder="1">
      <alignment vertical="center"/>
    </xf>
    <xf numFmtId="179" fontId="0" fillId="0" borderId="66" xfId="0" applyNumberFormat="1" applyBorder="1">
      <alignment vertical="center"/>
    </xf>
    <xf numFmtId="0" fontId="50" fillId="5" borderId="159" xfId="0" applyFont="1" applyFill="1" applyBorder="1" applyAlignment="1">
      <alignment horizontal="left" vertical="center"/>
    </xf>
    <xf numFmtId="0" fontId="50" fillId="5" borderId="0" xfId="0" applyFont="1" applyFill="1" applyAlignment="1">
      <alignment horizontal="left" vertical="center"/>
    </xf>
    <xf numFmtId="0" fontId="50" fillId="5" borderId="137" xfId="0" applyFont="1" applyFill="1" applyBorder="1">
      <alignment vertical="center"/>
    </xf>
    <xf numFmtId="187" fontId="0" fillId="0" borderId="81" xfId="0" applyNumberFormat="1" applyBorder="1">
      <alignment vertical="center"/>
    </xf>
    <xf numFmtId="187" fontId="0" fillId="0" borderId="195" xfId="0" applyNumberFormat="1" applyBorder="1">
      <alignment vertical="center"/>
    </xf>
    <xf numFmtId="187" fontId="0" fillId="0" borderId="78" xfId="0" applyNumberFormat="1" applyBorder="1">
      <alignment vertical="center"/>
    </xf>
    <xf numFmtId="0" fontId="89" fillId="0" borderId="0" xfId="0" applyFont="1" applyAlignment="1">
      <alignment horizontal="center" vertical="center" textRotation="255"/>
    </xf>
    <xf numFmtId="187" fontId="0" fillId="0" borderId="196" xfId="0" applyNumberFormat="1" applyBorder="1">
      <alignment vertical="center"/>
    </xf>
    <xf numFmtId="0" fontId="60" fillId="0" borderId="168" xfId="0" applyFont="1" applyBorder="1" applyAlignment="1"/>
    <xf numFmtId="183" fontId="113" fillId="2" borderId="137" xfId="0" applyNumberFormat="1" applyFont="1" applyFill="1" applyBorder="1" applyAlignment="1">
      <alignment horizontal="right" vertical="center"/>
    </xf>
    <xf numFmtId="183" fontId="113" fillId="2" borderId="134" xfId="0" applyNumberFormat="1" applyFont="1" applyFill="1" applyBorder="1">
      <alignment vertical="center"/>
    </xf>
    <xf numFmtId="0" fontId="4" fillId="0" borderId="181" xfId="9" applyBorder="1">
      <alignment vertical="center"/>
    </xf>
    <xf numFmtId="0" fontId="4" fillId="0" borderId="0" xfId="9">
      <alignment vertical="center"/>
    </xf>
    <xf numFmtId="0" fontId="4" fillId="0" borderId="182" xfId="9" applyBorder="1">
      <alignment vertical="center"/>
    </xf>
    <xf numFmtId="0" fontId="4" fillId="35" borderId="182" xfId="9" applyFill="1" applyBorder="1">
      <alignment vertical="center"/>
    </xf>
    <xf numFmtId="0" fontId="4" fillId="0" borderId="183" xfId="9" applyBorder="1">
      <alignment vertical="center"/>
    </xf>
    <xf numFmtId="0" fontId="4" fillId="34" borderId="184" xfId="9" applyFill="1" applyBorder="1">
      <alignment vertical="center"/>
    </xf>
    <xf numFmtId="178" fontId="0" fillId="0" borderId="89" xfId="0" applyNumberFormat="1" applyBorder="1" applyAlignment="1">
      <alignment horizontal="center" vertical="center" wrapText="1"/>
    </xf>
    <xf numFmtId="178" fontId="0" fillId="0" borderId="11" xfId="0" applyNumberFormat="1" applyBorder="1" applyAlignment="1">
      <alignment horizontal="center" vertical="center" wrapText="1"/>
    </xf>
    <xf numFmtId="178" fontId="0" fillId="0" borderId="10" xfId="0" applyNumberFormat="1" applyBorder="1" applyAlignment="1">
      <alignment horizontal="center" vertical="center" wrapText="1"/>
    </xf>
    <xf numFmtId="178" fontId="0" fillId="0" borderId="131" xfId="0" applyNumberFormat="1" applyBorder="1" applyAlignment="1">
      <alignment horizontal="center" vertical="center" wrapText="1"/>
    </xf>
    <xf numFmtId="0" fontId="4" fillId="35" borderId="197" xfId="9" applyFill="1" applyBorder="1">
      <alignment vertical="center"/>
    </xf>
    <xf numFmtId="0" fontId="4" fillId="13" borderId="181" xfId="9" applyFill="1" applyBorder="1">
      <alignment vertical="center"/>
    </xf>
    <xf numFmtId="0" fontId="0" fillId="0" borderId="165" xfId="0" applyBorder="1">
      <alignment vertical="center"/>
    </xf>
    <xf numFmtId="0" fontId="0" fillId="12" borderId="194" xfId="0" applyFill="1" applyBorder="1" applyAlignment="1" applyProtection="1">
      <alignment horizontal="center" vertical="center"/>
      <protection locked="0"/>
    </xf>
    <xf numFmtId="179" fontId="0" fillId="63" borderId="0" xfId="0" applyNumberFormat="1" applyFill="1">
      <alignment vertical="center"/>
    </xf>
    <xf numFmtId="0" fontId="37" fillId="9" borderId="137" xfId="0" applyFont="1" applyFill="1" applyBorder="1" applyAlignment="1">
      <alignment vertical="center" shrinkToFit="1"/>
    </xf>
    <xf numFmtId="0" fontId="77" fillId="0" borderId="194" xfId="4" applyFont="1" applyBorder="1" applyAlignment="1" applyProtection="1">
      <alignment horizontal="center" vertical="center"/>
      <protection locked="0"/>
    </xf>
    <xf numFmtId="0" fontId="37" fillId="0" borderId="159" xfId="0" applyFont="1" applyBorder="1" applyAlignment="1">
      <alignment vertical="center" wrapText="1"/>
    </xf>
    <xf numFmtId="0" fontId="52" fillId="47" borderId="134" xfId="0" applyFont="1" applyFill="1" applyBorder="1" applyAlignment="1">
      <alignment horizontal="center" vertical="center"/>
    </xf>
    <xf numFmtId="0" fontId="9" fillId="2" borderId="0" xfId="0" applyFont="1" applyFill="1" applyAlignment="1">
      <alignment horizontal="center" vertical="center"/>
    </xf>
    <xf numFmtId="0" fontId="7" fillId="0" borderId="0" xfId="0" applyFont="1">
      <alignment vertical="center"/>
    </xf>
    <xf numFmtId="0" fontId="7" fillId="0" borderId="1" xfId="0" applyFont="1" applyBorder="1">
      <alignment vertical="center"/>
    </xf>
    <xf numFmtId="0" fontId="9" fillId="2" borderId="199" xfId="0" applyFont="1" applyFill="1" applyBorder="1">
      <alignment vertical="center"/>
    </xf>
    <xf numFmtId="0" fontId="42" fillId="3" borderId="159" xfId="0" applyFont="1" applyFill="1" applyBorder="1">
      <alignment vertical="center"/>
    </xf>
    <xf numFmtId="0" fontId="9" fillId="2" borderId="39" xfId="0" applyFont="1" applyFill="1" applyBorder="1" applyAlignment="1">
      <alignment horizontal="center" vertical="center"/>
    </xf>
    <xf numFmtId="0" fontId="9" fillId="2" borderId="30" xfId="0" applyFont="1" applyFill="1" applyBorder="1">
      <alignment vertical="center"/>
    </xf>
    <xf numFmtId="0" fontId="12" fillId="2" borderId="39" xfId="0" applyFont="1" applyFill="1" applyBorder="1">
      <alignment vertical="center"/>
    </xf>
    <xf numFmtId="0" fontId="11" fillId="2" borderId="29" xfId="0" applyFont="1" applyFill="1" applyBorder="1" applyAlignment="1">
      <alignment horizontal="center" vertical="center"/>
    </xf>
    <xf numFmtId="0" fontId="9" fillId="2" borderId="41" xfId="0" applyFont="1" applyFill="1" applyBorder="1" applyAlignment="1">
      <alignment horizontal="left" vertical="center"/>
    </xf>
    <xf numFmtId="0" fontId="9" fillId="2" borderId="137" xfId="0" applyFont="1" applyFill="1" applyBorder="1" applyAlignment="1">
      <alignment horizontal="center" vertical="center"/>
    </xf>
    <xf numFmtId="0" fontId="9" fillId="2" borderId="133" xfId="0" applyFont="1" applyFill="1" applyBorder="1">
      <alignment vertical="center"/>
    </xf>
    <xf numFmtId="0" fontId="9" fillId="2" borderId="137" xfId="0" applyFont="1" applyFill="1" applyBorder="1">
      <alignment vertical="center"/>
    </xf>
    <xf numFmtId="0" fontId="9" fillId="2" borderId="0" xfId="0" applyFont="1" applyFill="1">
      <alignment vertical="center"/>
    </xf>
    <xf numFmtId="0" fontId="9" fillId="2" borderId="134" xfId="0" applyFont="1" applyFill="1" applyBorder="1">
      <alignment vertical="center"/>
    </xf>
    <xf numFmtId="0" fontId="9" fillId="2" borderId="159" xfId="0" applyFont="1" applyFill="1" applyBorder="1" applyAlignment="1">
      <alignment horizontal="center" vertical="center"/>
    </xf>
    <xf numFmtId="0" fontId="7" fillId="0" borderId="130" xfId="0" applyFont="1" applyBorder="1">
      <alignment vertical="center"/>
    </xf>
    <xf numFmtId="178" fontId="0" fillId="0" borderId="203" xfId="0" applyNumberFormat="1" applyBorder="1" applyAlignment="1">
      <alignment horizontal="center" vertical="center" wrapText="1"/>
    </xf>
    <xf numFmtId="179" fontId="7" fillId="0" borderId="194" xfId="0" applyNumberFormat="1" applyFont="1" applyBorder="1">
      <alignment vertical="center"/>
    </xf>
    <xf numFmtId="179" fontId="7" fillId="12" borderId="130" xfId="0" applyNumberFormat="1" applyFont="1" applyFill="1" applyBorder="1" applyProtection="1">
      <alignment vertical="center"/>
      <protection locked="0"/>
    </xf>
    <xf numFmtId="179" fontId="7" fillId="12" borderId="131" xfId="0" applyNumberFormat="1" applyFont="1" applyFill="1" applyBorder="1" applyProtection="1">
      <alignment vertical="center"/>
      <protection locked="0"/>
    </xf>
    <xf numFmtId="179" fontId="7" fillId="12" borderId="201" xfId="0" applyNumberFormat="1" applyFont="1" applyFill="1" applyBorder="1" applyProtection="1">
      <alignment vertical="center"/>
      <protection locked="0"/>
    </xf>
    <xf numFmtId="179" fontId="7" fillId="12" borderId="202" xfId="0" applyNumberFormat="1" applyFont="1" applyFill="1" applyBorder="1" applyProtection="1">
      <alignment vertical="center"/>
      <protection locked="0"/>
    </xf>
    <xf numFmtId="0" fontId="7" fillId="0" borderId="89" xfId="0" applyFont="1" applyBorder="1">
      <alignment vertical="center"/>
    </xf>
    <xf numFmtId="0" fontId="7" fillId="34" borderId="0" xfId="0" applyFont="1" applyFill="1">
      <alignment vertical="center"/>
    </xf>
    <xf numFmtId="0" fontId="7" fillId="12" borderId="194"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0" fillId="0" borderId="201" xfId="0" applyBorder="1" applyAlignment="1">
      <alignment horizontal="center" vertical="center"/>
    </xf>
    <xf numFmtId="0" fontId="9" fillId="29" borderId="201" xfId="0" applyFont="1" applyFill="1" applyBorder="1" applyAlignment="1">
      <alignment horizontal="left" vertical="center"/>
    </xf>
    <xf numFmtId="0" fontId="9" fillId="29" borderId="201" xfId="0" applyFont="1" applyFill="1" applyBorder="1" applyAlignment="1">
      <alignment horizontal="left" vertical="center" wrapText="1"/>
    </xf>
    <xf numFmtId="0" fontId="9" fillId="29" borderId="202" xfId="0" applyFont="1" applyFill="1" applyBorder="1" applyAlignment="1">
      <alignment horizontal="left" vertical="center"/>
    </xf>
    <xf numFmtId="0" fontId="9" fillId="29" borderId="203" xfId="0" applyFont="1" applyFill="1" applyBorder="1" applyAlignment="1">
      <alignment vertical="center" wrapText="1"/>
    </xf>
    <xf numFmtId="0" fontId="9" fillId="29" borderId="11" xfId="0" applyFont="1" applyFill="1" applyBorder="1" applyAlignment="1">
      <alignment vertical="center" wrapText="1"/>
    </xf>
    <xf numFmtId="0" fontId="9" fillId="29" borderId="130" xfId="0" applyFont="1" applyFill="1" applyBorder="1" applyAlignment="1">
      <alignment vertical="center" wrapText="1"/>
    </xf>
    <xf numFmtId="0" fontId="9" fillId="29" borderId="201" xfId="0" applyFont="1" applyFill="1" applyBorder="1" applyAlignment="1">
      <alignment vertical="center" wrapText="1"/>
    </xf>
    <xf numFmtId="0" fontId="9" fillId="0" borderId="0" xfId="0" applyFont="1" applyAlignment="1">
      <alignment vertical="top" shrinkToFit="1"/>
    </xf>
    <xf numFmtId="0" fontId="15" fillId="7" borderId="0" xfId="0" applyFont="1" applyFill="1">
      <alignment vertical="center"/>
    </xf>
    <xf numFmtId="0" fontId="20" fillId="7" borderId="0" xfId="0" applyFont="1" applyFill="1">
      <alignment vertical="center"/>
    </xf>
    <xf numFmtId="0" fontId="9" fillId="2" borderId="204" xfId="0" applyFont="1" applyFill="1" applyBorder="1" applyAlignment="1">
      <alignment horizontal="center" vertical="center"/>
    </xf>
    <xf numFmtId="0" fontId="9" fillId="2" borderId="205" xfId="0" applyFont="1" applyFill="1" applyBorder="1" applyAlignment="1">
      <alignment horizontal="center" vertical="center"/>
    </xf>
    <xf numFmtId="0" fontId="44" fillId="2" borderId="137" xfId="0" applyFont="1" applyFill="1" applyBorder="1" applyAlignment="1">
      <alignment vertical="center" wrapText="1"/>
    </xf>
    <xf numFmtId="0" fontId="11" fillId="2" borderId="137" xfId="0" applyFont="1" applyFill="1" applyBorder="1" applyAlignment="1">
      <alignment horizontal="center" vertical="center"/>
    </xf>
    <xf numFmtId="0" fontId="9" fillId="2" borderId="134" xfId="0" applyFont="1" applyFill="1" applyBorder="1" applyAlignment="1">
      <alignment horizontal="left" vertical="center"/>
    </xf>
    <xf numFmtId="0" fontId="9" fillId="0" borderId="0" xfId="0" applyFont="1" applyAlignment="1">
      <alignment horizontal="center"/>
    </xf>
    <xf numFmtId="0" fontId="9" fillId="2" borderId="148" xfId="0" applyFont="1" applyFill="1" applyBorder="1" applyAlignment="1">
      <alignment horizontal="left" vertical="center"/>
    </xf>
    <xf numFmtId="0" fontId="9" fillId="50" borderId="125" xfId="0" applyFont="1" applyFill="1" applyBorder="1">
      <alignment vertical="center"/>
    </xf>
    <xf numFmtId="0" fontId="9" fillId="2" borderId="32" xfId="0" applyFont="1" applyFill="1" applyBorder="1">
      <alignment vertical="center"/>
    </xf>
    <xf numFmtId="0" fontId="9" fillId="47" borderId="207" xfId="0" applyFont="1" applyFill="1" applyBorder="1">
      <alignment vertical="center"/>
    </xf>
    <xf numFmtId="0" fontId="9" fillId="47" borderId="159" xfId="0" applyFont="1" applyFill="1" applyBorder="1">
      <alignment vertical="center"/>
    </xf>
    <xf numFmtId="0" fontId="9" fillId="47" borderId="0" xfId="0" applyFont="1" applyFill="1">
      <alignment vertical="center"/>
    </xf>
    <xf numFmtId="0" fontId="9" fillId="47" borderId="0" xfId="0" applyFont="1" applyFill="1" applyAlignment="1">
      <alignment horizontal="center" vertical="center"/>
    </xf>
    <xf numFmtId="187" fontId="83" fillId="47" borderId="137" xfId="0" applyNumberFormat="1" applyFont="1" applyFill="1" applyBorder="1" applyAlignment="1">
      <alignment horizontal="center" vertical="center"/>
    </xf>
    <xf numFmtId="0" fontId="9" fillId="48" borderId="214" xfId="0" applyFont="1" applyFill="1" applyBorder="1" applyAlignment="1">
      <alignment horizontal="left" vertical="center"/>
    </xf>
    <xf numFmtId="0" fontId="9" fillId="48" borderId="207" xfId="0" applyFont="1" applyFill="1" applyBorder="1">
      <alignment vertical="center"/>
    </xf>
    <xf numFmtId="0" fontId="9" fillId="48" borderId="159" xfId="0" applyFont="1" applyFill="1" applyBorder="1" applyAlignment="1">
      <alignment horizontal="center" vertical="center"/>
    </xf>
    <xf numFmtId="0" fontId="9" fillId="48" borderId="0" xfId="0" applyFont="1" applyFill="1" applyAlignment="1">
      <alignment horizontal="center" vertical="center"/>
    </xf>
    <xf numFmtId="0" fontId="56" fillId="48" borderId="137" xfId="0" applyFont="1" applyFill="1" applyBorder="1" applyAlignment="1">
      <alignment vertical="center" wrapText="1"/>
    </xf>
    <xf numFmtId="0" fontId="56" fillId="48" borderId="206" xfId="0" applyFont="1" applyFill="1" applyBorder="1" applyAlignment="1">
      <alignment vertical="center" wrapText="1"/>
    </xf>
    <xf numFmtId="0" fontId="59" fillId="49" borderId="205" xfId="0" applyFont="1" applyFill="1" applyBorder="1">
      <alignment vertical="center"/>
    </xf>
    <xf numFmtId="0" fontId="59" fillId="49" borderId="206" xfId="0" applyFont="1" applyFill="1" applyBorder="1">
      <alignment vertical="center"/>
    </xf>
    <xf numFmtId="0" fontId="9" fillId="49" borderId="210" xfId="0" applyFont="1" applyFill="1" applyBorder="1" applyAlignment="1">
      <alignment horizontal="left" vertical="center"/>
    </xf>
    <xf numFmtId="0" fontId="9" fillId="49" borderId="207" xfId="0" applyFont="1" applyFill="1" applyBorder="1">
      <alignment vertical="center"/>
    </xf>
    <xf numFmtId="0" fontId="52" fillId="49" borderId="206" xfId="0" applyFont="1" applyFill="1" applyBorder="1" applyAlignment="1">
      <alignment horizontal="center" vertical="center"/>
    </xf>
    <xf numFmtId="0" fontId="9" fillId="2" borderId="205" xfId="0" applyFont="1" applyFill="1" applyBorder="1">
      <alignment vertical="center"/>
    </xf>
    <xf numFmtId="0" fontId="9" fillId="2" borderId="206" xfId="0" applyFont="1" applyFill="1" applyBorder="1">
      <alignment vertical="center"/>
    </xf>
    <xf numFmtId="0" fontId="52" fillId="47" borderId="137" xfId="0" applyFont="1" applyFill="1" applyBorder="1" applyAlignment="1">
      <alignment horizontal="left" vertical="center" wrapText="1"/>
    </xf>
    <xf numFmtId="0" fontId="52" fillId="47" borderId="134" xfId="0" applyFont="1" applyFill="1" applyBorder="1" applyAlignment="1">
      <alignment horizontal="left" vertical="center" wrapText="1"/>
    </xf>
    <xf numFmtId="0" fontId="9" fillId="48" borderId="206" xfId="0" applyFont="1" applyFill="1" applyBorder="1">
      <alignment vertical="center"/>
    </xf>
    <xf numFmtId="0" fontId="9" fillId="49" borderId="206" xfId="0" applyFont="1" applyFill="1" applyBorder="1">
      <alignment vertical="center"/>
    </xf>
    <xf numFmtId="0" fontId="9" fillId="2" borderId="118" xfId="0" applyFont="1" applyFill="1" applyBorder="1">
      <alignment vertical="center"/>
    </xf>
    <xf numFmtId="0" fontId="9" fillId="47" borderId="118" xfId="0" applyFont="1" applyFill="1" applyBorder="1">
      <alignment vertical="center"/>
    </xf>
    <xf numFmtId="0" fontId="9" fillId="48" borderId="118" xfId="0" applyFont="1" applyFill="1" applyBorder="1">
      <alignment vertical="center"/>
    </xf>
    <xf numFmtId="0" fontId="9" fillId="48" borderId="153" xfId="0" applyFont="1" applyFill="1" applyBorder="1">
      <alignment vertical="center"/>
    </xf>
    <xf numFmtId="0" fontId="9" fillId="49" borderId="118" xfId="0" applyFont="1" applyFill="1" applyBorder="1">
      <alignment vertical="center"/>
    </xf>
    <xf numFmtId="0" fontId="9" fillId="49" borderId="152" xfId="0" applyFont="1" applyFill="1" applyBorder="1">
      <alignment vertical="center"/>
    </xf>
    <xf numFmtId="0" fontId="9" fillId="2" borderId="119" xfId="0" applyFont="1" applyFill="1" applyBorder="1">
      <alignment vertical="center"/>
    </xf>
    <xf numFmtId="0" fontId="12" fillId="0" borderId="0" xfId="0" applyFont="1" applyAlignment="1">
      <alignment horizontal="center" vertical="center" shrinkToFit="1"/>
    </xf>
    <xf numFmtId="198" fontId="9" fillId="2" borderId="205" xfId="0" applyNumberFormat="1" applyFont="1" applyFill="1" applyBorder="1" applyAlignment="1">
      <alignment horizontal="left" vertical="center" shrinkToFit="1"/>
    </xf>
    <xf numFmtId="0" fontId="52" fillId="2" borderId="205" xfId="0" applyFont="1" applyFill="1" applyBorder="1" applyAlignment="1">
      <alignment horizontal="left" vertical="center" shrinkToFit="1"/>
    </xf>
    <xf numFmtId="0" fontId="52" fillId="2" borderId="206" xfId="0" applyFont="1" applyFill="1" applyBorder="1" applyAlignment="1">
      <alignment horizontal="left" vertical="center" shrinkToFit="1"/>
    </xf>
    <xf numFmtId="0" fontId="7" fillId="0" borderId="159" xfId="0" applyFont="1" applyBorder="1" applyAlignment="1">
      <alignment horizontal="left" vertical="center"/>
    </xf>
    <xf numFmtId="0" fontId="7" fillId="50" borderId="137" xfId="0" applyFont="1" applyFill="1" applyBorder="1">
      <alignment vertical="center"/>
    </xf>
    <xf numFmtId="0" fontId="7" fillId="50" borderId="134" xfId="0" applyFont="1" applyFill="1" applyBorder="1">
      <alignment vertical="center"/>
    </xf>
    <xf numFmtId="0" fontId="11" fillId="0" borderId="0" xfId="0" applyFont="1" applyAlignment="1" applyProtection="1">
      <alignment horizontal="center" vertical="center" shrinkToFit="1"/>
      <protection locked="0"/>
    </xf>
    <xf numFmtId="0" fontId="7" fillId="0" borderId="2" xfId="0" applyFont="1" applyBorder="1">
      <alignment vertical="center"/>
    </xf>
    <xf numFmtId="0" fontId="10" fillId="0" borderId="2" xfId="0" applyFont="1" applyBorder="1">
      <alignment vertical="center"/>
    </xf>
    <xf numFmtId="0" fontId="47" fillId="9" borderId="206" xfId="0" applyFont="1" applyFill="1" applyBorder="1" applyAlignment="1">
      <alignment vertical="center" shrinkToFit="1"/>
    </xf>
    <xf numFmtId="0" fontId="47" fillId="9" borderId="205" xfId="0" applyFont="1" applyFill="1" applyBorder="1" applyAlignment="1">
      <alignment vertical="center" shrinkToFit="1"/>
    </xf>
    <xf numFmtId="0" fontId="47" fillId="34" borderId="206" xfId="0" applyFont="1" applyFill="1" applyBorder="1">
      <alignment vertical="center"/>
    </xf>
    <xf numFmtId="0" fontId="9" fillId="24" borderId="219" xfId="0" applyFont="1" applyFill="1" applyBorder="1" applyAlignment="1" applyProtection="1">
      <alignment horizontal="left" vertical="center"/>
      <protection locked="0"/>
    </xf>
    <xf numFmtId="0" fontId="9" fillId="2" borderId="52" xfId="0" applyFont="1" applyFill="1" applyBorder="1" applyAlignment="1">
      <alignment horizontal="left" vertical="center"/>
    </xf>
    <xf numFmtId="0" fontId="45" fillId="0" borderId="205" xfId="0" applyFont="1" applyBorder="1" applyAlignment="1">
      <alignment horizontal="center" vertical="center" textRotation="255" shrinkToFit="1"/>
    </xf>
    <xf numFmtId="0" fontId="45" fillId="0" borderId="137" xfId="0" applyFont="1" applyBorder="1" applyAlignment="1">
      <alignment horizontal="center" vertical="center"/>
    </xf>
    <xf numFmtId="181" fontId="11" fillId="0" borderId="137" xfId="0" applyNumberFormat="1" applyFont="1" applyBorder="1" applyAlignment="1">
      <alignment horizontal="center" vertical="center"/>
    </xf>
    <xf numFmtId="0" fontId="9" fillId="0" borderId="137" xfId="0" applyFont="1" applyBorder="1" applyAlignment="1">
      <alignment horizontal="center" vertical="center"/>
    </xf>
    <xf numFmtId="177" fontId="11" fillId="0" borderId="0" xfId="0" applyNumberFormat="1" applyFont="1" applyAlignment="1">
      <alignment horizontal="center" vertical="center"/>
    </xf>
    <xf numFmtId="177" fontId="7" fillId="0" borderId="0" xfId="0" applyNumberFormat="1" applyFont="1" applyAlignment="1">
      <alignment horizontal="center" vertical="center"/>
    </xf>
    <xf numFmtId="177" fontId="7" fillId="0" borderId="0" xfId="0" applyNumberFormat="1" applyFont="1">
      <alignment vertical="center"/>
    </xf>
    <xf numFmtId="0" fontId="37" fillId="9" borderId="206" xfId="0" applyFont="1" applyFill="1" applyBorder="1">
      <alignment vertical="center"/>
    </xf>
    <xf numFmtId="0" fontId="9" fillId="2" borderId="205" xfId="0" applyFont="1" applyFill="1" applyBorder="1" applyAlignment="1">
      <alignment horizontal="left" vertical="center"/>
    </xf>
    <xf numFmtId="0" fontId="47" fillId="34" borderId="205" xfId="0" applyFont="1" applyFill="1" applyBorder="1">
      <alignment vertical="center"/>
    </xf>
    <xf numFmtId="0" fontId="9" fillId="48" borderId="205" xfId="0" applyFont="1" applyFill="1" applyBorder="1" applyAlignment="1">
      <alignment horizontal="left" vertical="center"/>
    </xf>
    <xf numFmtId="0" fontId="9" fillId="2" borderId="51" xfId="0" applyFont="1" applyFill="1" applyBorder="1" applyAlignment="1">
      <alignment horizontal="left" vertical="center"/>
    </xf>
    <xf numFmtId="0" fontId="9" fillId="0" borderId="0" xfId="0" applyFont="1" applyAlignment="1">
      <alignment horizontal="left"/>
    </xf>
    <xf numFmtId="0" fontId="7" fillId="0" borderId="0" xfId="0" applyFont="1" applyAlignment="1">
      <alignment horizontal="left"/>
    </xf>
    <xf numFmtId="0" fontId="37" fillId="5" borderId="204" xfId="0" applyFont="1" applyFill="1" applyBorder="1" applyAlignment="1">
      <alignment horizontal="left" vertical="center"/>
    </xf>
    <xf numFmtId="0" fontId="37" fillId="5" borderId="205" xfId="0" applyFont="1" applyFill="1" applyBorder="1" applyAlignment="1">
      <alignment horizontal="left" vertical="center"/>
    </xf>
    <xf numFmtId="0" fontId="37" fillId="5" borderId="205" xfId="0" applyFont="1" applyFill="1" applyBorder="1">
      <alignment vertical="center"/>
    </xf>
    <xf numFmtId="0" fontId="37" fillId="0" borderId="159" xfId="0" applyFont="1" applyBorder="1">
      <alignment vertical="center"/>
    </xf>
    <xf numFmtId="0" fontId="7" fillId="0" borderId="159" xfId="0" applyFont="1" applyBorder="1" applyAlignment="1">
      <alignment horizontal="center" vertical="center"/>
    </xf>
    <xf numFmtId="181" fontId="22" fillId="0" borderId="0" xfId="0" applyNumberFormat="1" applyFont="1" applyAlignment="1">
      <alignment horizontal="center" vertical="center"/>
    </xf>
    <xf numFmtId="180" fontId="23" fillId="0" borderId="0" xfId="0" applyNumberFormat="1" applyFont="1" applyAlignment="1">
      <alignment horizontal="center" vertical="center"/>
    </xf>
    <xf numFmtId="0" fontId="7" fillId="0" borderId="0" xfId="0" applyFont="1" applyAlignment="1">
      <alignment horizontal="center"/>
    </xf>
    <xf numFmtId="0" fontId="49" fillId="5" borderId="222" xfId="0" applyFont="1" applyFill="1" applyBorder="1">
      <alignment vertical="center"/>
    </xf>
    <xf numFmtId="177" fontId="12" fillId="0" borderId="133" xfId="0" applyNumberFormat="1" applyFont="1" applyBorder="1" applyAlignment="1">
      <alignment horizontal="right" vertical="center"/>
    </xf>
    <xf numFmtId="177" fontId="7" fillId="0" borderId="137" xfId="0" applyNumberFormat="1" applyFont="1" applyBorder="1">
      <alignment vertical="center"/>
    </xf>
    <xf numFmtId="177" fontId="12" fillId="0" borderId="137" xfId="0" applyNumberFormat="1" applyFont="1" applyBorder="1" applyAlignment="1">
      <alignment horizontal="right" vertical="center"/>
    </xf>
    <xf numFmtId="177" fontId="12" fillId="0" borderId="57" xfId="0" applyNumberFormat="1" applyFont="1" applyBorder="1" applyAlignment="1">
      <alignment horizontal="right" vertical="center"/>
    </xf>
    <xf numFmtId="0" fontId="9" fillId="0" borderId="6" xfId="0" applyFont="1" applyBorder="1" applyAlignment="1">
      <alignment horizontal="left"/>
    </xf>
    <xf numFmtId="0" fontId="7" fillId="0" borderId="6" xfId="0" applyFont="1" applyBorder="1" applyAlignment="1">
      <alignment horizontal="left"/>
    </xf>
    <xf numFmtId="0" fontId="49" fillId="5" borderId="137" xfId="0" applyFont="1" applyFill="1" applyBorder="1">
      <alignment vertical="center"/>
    </xf>
    <xf numFmtId="182" fontId="12" fillId="2" borderId="228" xfId="0" applyNumberFormat="1" applyFont="1" applyFill="1" applyBorder="1" applyAlignment="1">
      <alignment horizontal="center" vertical="center"/>
    </xf>
    <xf numFmtId="182" fontId="12" fillId="47" borderId="228" xfId="0" applyNumberFormat="1" applyFont="1" applyFill="1" applyBorder="1" applyAlignment="1">
      <alignment horizontal="center" vertical="center"/>
    </xf>
    <xf numFmtId="182" fontId="12" fillId="48" borderId="228" xfId="0" applyNumberFormat="1" applyFont="1" applyFill="1" applyBorder="1" applyAlignment="1">
      <alignment horizontal="center" vertical="center"/>
    </xf>
    <xf numFmtId="182" fontId="12" fillId="49" borderId="228" xfId="0" applyNumberFormat="1" applyFont="1" applyFill="1" applyBorder="1" applyAlignment="1">
      <alignment horizontal="center" vertical="center"/>
    </xf>
    <xf numFmtId="0" fontId="21" fillId="0" borderId="205" xfId="0" applyFont="1" applyBorder="1" applyAlignment="1">
      <alignment horizontal="center" vertical="center"/>
    </xf>
    <xf numFmtId="176" fontId="12" fillId="0" borderId="205" xfId="0" applyNumberFormat="1" applyFont="1" applyBorder="1">
      <alignment vertical="center"/>
    </xf>
    <xf numFmtId="0" fontId="7" fillId="6" borderId="0" xfId="0" applyFont="1" applyFill="1">
      <alignment vertical="center"/>
    </xf>
    <xf numFmtId="0" fontId="7" fillId="6" borderId="4" xfId="0" applyFont="1" applyFill="1" applyBorder="1">
      <alignment vertical="center"/>
    </xf>
    <xf numFmtId="0" fontId="7" fillId="6" borderId="3" xfId="0" applyFont="1" applyFill="1" applyBorder="1" applyAlignment="1">
      <alignment horizontal="center" vertical="center"/>
    </xf>
    <xf numFmtId="0" fontId="7" fillId="6" borderId="5" xfId="0" applyFont="1" applyFill="1" applyBorder="1">
      <alignment vertical="center"/>
    </xf>
    <xf numFmtId="0" fontId="0" fillId="0" borderId="232" xfId="0" applyBorder="1">
      <alignment vertical="center"/>
    </xf>
    <xf numFmtId="0" fontId="0" fillId="0" borderId="234" xfId="0" applyBorder="1" applyAlignment="1">
      <alignment horizontal="center" vertical="center"/>
    </xf>
    <xf numFmtId="180" fontId="14" fillId="0" borderId="234" xfId="0" applyNumberFormat="1" applyFont="1" applyBorder="1">
      <alignment vertical="center"/>
    </xf>
    <xf numFmtId="0" fontId="0" fillId="0" borderId="235" xfId="0" applyBorder="1" applyAlignment="1">
      <alignment horizontal="center" vertical="center"/>
    </xf>
    <xf numFmtId="0" fontId="15" fillId="7" borderId="90" xfId="0" applyFont="1" applyFill="1" applyBorder="1" applyAlignment="1">
      <alignment horizontal="left" vertical="center"/>
    </xf>
    <xf numFmtId="0" fontId="30" fillId="0" borderId="233" xfId="0" applyFont="1" applyBorder="1">
      <alignment vertical="center"/>
    </xf>
    <xf numFmtId="179" fontId="24" fillId="0" borderId="203" xfId="0" applyNumberFormat="1" applyFont="1" applyBorder="1" applyAlignment="1">
      <alignment horizontal="center" vertical="center"/>
    </xf>
    <xf numFmtId="0" fontId="30" fillId="0" borderId="238" xfId="0" applyFont="1" applyBorder="1">
      <alignment vertical="center"/>
    </xf>
    <xf numFmtId="179" fontId="24" fillId="0" borderId="237" xfId="0" applyNumberFormat="1" applyFont="1" applyBorder="1" applyAlignment="1">
      <alignment horizontal="center" vertical="center"/>
    </xf>
    <xf numFmtId="0" fontId="30" fillId="0" borderId="202" xfId="0" applyFont="1" applyBorder="1">
      <alignment vertical="center"/>
    </xf>
    <xf numFmtId="196" fontId="9" fillId="0" borderId="240" xfId="0" applyNumberFormat="1" applyFont="1" applyBorder="1" applyAlignment="1">
      <alignment vertical="center" shrinkToFit="1"/>
    </xf>
    <xf numFmtId="0" fontId="21" fillId="7" borderId="229" xfId="0" applyFont="1" applyFill="1" applyBorder="1" applyAlignment="1">
      <alignment horizontal="left" vertical="center"/>
    </xf>
    <xf numFmtId="0" fontId="15" fillId="0" borderId="191" xfId="0" applyFont="1" applyBorder="1" applyAlignment="1">
      <alignment horizontal="center" vertical="center"/>
    </xf>
    <xf numFmtId="177" fontId="24" fillId="0" borderId="203" xfId="0" applyNumberFormat="1" applyFont="1" applyBorder="1" applyAlignment="1">
      <alignment vertical="center" shrinkToFit="1"/>
    </xf>
    <xf numFmtId="177" fontId="24" fillId="0" borderId="234" xfId="0" applyNumberFormat="1" applyFont="1" applyBorder="1" applyAlignment="1">
      <alignment vertical="center" shrinkToFit="1"/>
    </xf>
    <xf numFmtId="177" fontId="24" fillId="0" borderId="233" xfId="0" applyNumberFormat="1" applyFont="1" applyBorder="1" applyAlignment="1">
      <alignment vertical="center" shrinkToFit="1"/>
    </xf>
    <xf numFmtId="177" fontId="24" fillId="0" borderId="191" xfId="0" applyNumberFormat="1" applyFont="1" applyBorder="1" applyAlignment="1">
      <alignment vertical="center" shrinkToFit="1"/>
    </xf>
    <xf numFmtId="0" fontId="6" fillId="0" borderId="130" xfId="4" applyBorder="1">
      <alignment vertical="center"/>
    </xf>
    <xf numFmtId="180" fontId="6" fillId="0" borderId="234" xfId="4" applyNumberFormat="1" applyBorder="1">
      <alignment vertical="center"/>
    </xf>
    <xf numFmtId="0" fontId="6" fillId="0" borderId="234" xfId="4" applyBorder="1">
      <alignment vertical="center"/>
    </xf>
    <xf numFmtId="0" fontId="9" fillId="41" borderId="201" xfId="4" applyFont="1" applyFill="1" applyBorder="1" applyAlignment="1">
      <alignment horizontal="center" vertical="center"/>
    </xf>
    <xf numFmtId="0" fontId="9" fillId="43" borderId="201" xfId="4" applyFont="1" applyFill="1" applyBorder="1" applyAlignment="1">
      <alignment horizontal="center" vertical="center"/>
    </xf>
    <xf numFmtId="0" fontId="9" fillId="43" borderId="202" xfId="4" applyFont="1" applyFill="1" applyBorder="1" applyAlignment="1">
      <alignment horizontal="center" vertical="center"/>
    </xf>
    <xf numFmtId="0" fontId="80" fillId="0" borderId="130" xfId="4" applyFont="1" applyBorder="1">
      <alignment vertical="center"/>
    </xf>
    <xf numFmtId="181" fontId="6" fillId="0" borderId="234" xfId="4" applyNumberFormat="1" applyBorder="1">
      <alignment vertical="center"/>
    </xf>
    <xf numFmtId="180" fontId="6" fillId="0" borderId="234" xfId="4" applyNumberFormat="1" applyBorder="1" applyProtection="1">
      <alignment vertical="center"/>
      <protection locked="0"/>
    </xf>
    <xf numFmtId="180" fontId="6" fillId="0" borderId="130" xfId="4" applyNumberFormat="1" applyBorder="1" applyProtection="1">
      <alignment vertical="center"/>
      <protection locked="0"/>
    </xf>
    <xf numFmtId="0" fontId="6" fillId="0" borderId="232" xfId="4" applyBorder="1">
      <alignment vertical="center"/>
    </xf>
    <xf numFmtId="0" fontId="6" fillId="0" borderId="201" xfId="4" applyBorder="1" applyProtection="1">
      <alignment vertical="center"/>
      <protection locked="0"/>
    </xf>
    <xf numFmtId="180" fontId="6" fillId="0" borderId="201" xfId="4" applyNumberFormat="1" applyBorder="1" applyProtection="1">
      <alignment vertical="center"/>
      <protection locked="0"/>
    </xf>
    <xf numFmtId="0" fontId="6" fillId="0" borderId="64" xfId="4" applyBorder="1">
      <alignment vertical="center"/>
    </xf>
    <xf numFmtId="0" fontId="0" fillId="0" borderId="234" xfId="0" applyBorder="1">
      <alignment vertical="center"/>
    </xf>
    <xf numFmtId="189" fontId="0" fillId="0" borderId="87" xfId="0" applyNumberFormat="1" applyBorder="1">
      <alignment vertical="center"/>
    </xf>
    <xf numFmtId="189" fontId="0" fillId="0" borderId="88" xfId="0" applyNumberFormat="1" applyBorder="1">
      <alignment vertical="center"/>
    </xf>
    <xf numFmtId="189" fontId="0" fillId="0" borderId="241" xfId="0" applyNumberFormat="1" applyBorder="1">
      <alignment vertical="center"/>
    </xf>
    <xf numFmtId="0" fontId="87" fillId="0" borderId="234" xfId="0" applyFont="1" applyBorder="1" applyAlignment="1">
      <alignment horizontal="center" vertical="top" shrinkToFit="1"/>
    </xf>
    <xf numFmtId="183" fontId="0" fillId="0" borderId="242" xfId="0" applyNumberFormat="1" applyBorder="1">
      <alignment vertical="center"/>
    </xf>
    <xf numFmtId="183" fontId="0" fillId="0" borderId="234" xfId="0" applyNumberFormat="1" applyBorder="1">
      <alignment vertical="center"/>
    </xf>
    <xf numFmtId="189" fontId="0" fillId="0" borderId="234" xfId="0" applyNumberFormat="1" applyBorder="1">
      <alignment vertical="center"/>
    </xf>
    <xf numFmtId="183" fontId="0" fillId="0" borderId="196" xfId="0" applyNumberFormat="1" applyBorder="1">
      <alignment vertical="center"/>
    </xf>
    <xf numFmtId="0" fontId="3" fillId="34" borderId="0" xfId="4" applyFont="1" applyFill="1" applyAlignment="1">
      <alignment horizontal="right" vertical="center"/>
    </xf>
    <xf numFmtId="0" fontId="39" fillId="7" borderId="244" xfId="0" applyFont="1" applyFill="1" applyBorder="1" applyAlignment="1">
      <alignment horizontal="center" vertical="center"/>
    </xf>
    <xf numFmtId="0" fontId="15" fillId="7" borderId="244" xfId="0" applyFont="1" applyFill="1" applyBorder="1">
      <alignment vertical="center"/>
    </xf>
    <xf numFmtId="0" fontId="7" fillId="7" borderId="244" xfId="0" applyFont="1" applyFill="1" applyBorder="1">
      <alignment vertical="center"/>
    </xf>
    <xf numFmtId="0" fontId="40" fillId="7" borderId="244" xfId="0" applyFont="1" applyFill="1" applyBorder="1">
      <alignment vertical="center"/>
    </xf>
    <xf numFmtId="0" fontId="40" fillId="7" borderId="245" xfId="0" applyFont="1" applyFill="1" applyBorder="1">
      <alignment vertical="center"/>
    </xf>
    <xf numFmtId="0" fontId="9" fillId="2" borderId="248" xfId="0" applyFont="1" applyFill="1" applyBorder="1">
      <alignment vertical="center"/>
    </xf>
    <xf numFmtId="0" fontId="9" fillId="2" borderId="250" xfId="0" applyFont="1" applyFill="1" applyBorder="1" applyAlignment="1">
      <alignment horizontal="center" vertical="center"/>
    </xf>
    <xf numFmtId="0" fontId="9" fillId="2" borderId="249" xfId="0" applyFont="1" applyFill="1" applyBorder="1" applyAlignment="1">
      <alignment horizontal="center" vertical="center"/>
    </xf>
    <xf numFmtId="0" fontId="9" fillId="2" borderId="246" xfId="0" applyFont="1" applyFill="1" applyBorder="1">
      <alignment vertical="center"/>
    </xf>
    <xf numFmtId="0" fontId="9" fillId="2" borderId="247" xfId="0" applyFont="1" applyFill="1" applyBorder="1">
      <alignment vertical="center"/>
    </xf>
    <xf numFmtId="0" fontId="7" fillId="0" borderId="247" xfId="0" applyFont="1" applyBorder="1">
      <alignment vertical="center"/>
    </xf>
    <xf numFmtId="0" fontId="0" fillId="0" borderId="247" xfId="0" applyBorder="1">
      <alignment vertical="center"/>
    </xf>
    <xf numFmtId="0" fontId="0" fillId="0" borderId="253" xfId="0" applyBorder="1" applyAlignment="1">
      <alignment horizontal="center" vertical="center"/>
    </xf>
    <xf numFmtId="0" fontId="0" fillId="0" borderId="253" xfId="0" applyBorder="1" applyAlignment="1"/>
    <xf numFmtId="0" fontId="3" fillId="34" borderId="0" xfId="4" applyFont="1" applyFill="1">
      <alignment vertical="center"/>
    </xf>
    <xf numFmtId="0" fontId="9" fillId="29" borderId="252" xfId="0" applyFont="1" applyFill="1" applyBorder="1" applyAlignment="1">
      <alignment horizontal="center" vertical="center"/>
    </xf>
    <xf numFmtId="0" fontId="9" fillId="29" borderId="234" xfId="0" applyFont="1" applyFill="1" applyBorder="1" applyAlignment="1">
      <alignment vertical="center" wrapText="1"/>
    </xf>
    <xf numFmtId="0" fontId="9" fillId="29" borderId="252" xfId="0" applyFont="1" applyFill="1" applyBorder="1" applyAlignment="1">
      <alignment vertical="center" wrapText="1"/>
    </xf>
    <xf numFmtId="0" fontId="37" fillId="9" borderId="256" xfId="0" applyFont="1" applyFill="1" applyBorder="1" applyAlignment="1">
      <alignment vertical="center" shrinkToFit="1"/>
    </xf>
    <xf numFmtId="0" fontId="37" fillId="9" borderId="200" xfId="0" applyFont="1" applyFill="1" applyBorder="1" applyAlignment="1">
      <alignment vertical="center" shrinkToFit="1"/>
    </xf>
    <xf numFmtId="0" fontId="9" fillId="0" borderId="200" xfId="0" applyFont="1" applyBorder="1" applyAlignment="1">
      <alignment vertical="top" shrinkToFit="1"/>
    </xf>
    <xf numFmtId="0" fontId="9" fillId="2" borderId="258" xfId="0" applyFont="1" applyFill="1" applyBorder="1">
      <alignment vertical="center"/>
    </xf>
    <xf numFmtId="0" fontId="52" fillId="2" borderId="256" xfId="0" applyFont="1" applyFill="1" applyBorder="1" applyAlignment="1">
      <alignment vertical="center" wrapText="1"/>
    </xf>
    <xf numFmtId="0" fontId="52" fillId="2" borderId="257" xfId="0" applyFont="1" applyFill="1" applyBorder="1" applyAlignment="1">
      <alignment vertical="center" wrapText="1"/>
    </xf>
    <xf numFmtId="0" fontId="52" fillId="2" borderId="249" xfId="0" applyFont="1" applyFill="1" applyBorder="1" applyAlignment="1">
      <alignment horizontal="center" vertical="center"/>
    </xf>
    <xf numFmtId="0" fontId="9" fillId="47" borderId="261" xfId="0" applyFont="1" applyFill="1" applyBorder="1" applyAlignment="1">
      <alignment horizontal="left" vertical="center"/>
    </xf>
    <xf numFmtId="0" fontId="52" fillId="48" borderId="249" xfId="0" applyFont="1" applyFill="1" applyBorder="1" applyAlignment="1">
      <alignment horizontal="center" vertical="center"/>
    </xf>
    <xf numFmtId="0" fontId="37" fillId="9" borderId="249" xfId="0" applyFont="1" applyFill="1" applyBorder="1">
      <alignment vertical="center"/>
    </xf>
    <xf numFmtId="0" fontId="58" fillId="0" borderId="200" xfId="0" applyFont="1" applyBorder="1">
      <alignment vertical="center"/>
    </xf>
    <xf numFmtId="0" fontId="12" fillId="0" borderId="200" xfId="0" applyFont="1" applyBorder="1">
      <alignment vertical="center"/>
    </xf>
    <xf numFmtId="0" fontId="12" fillId="0" borderId="200" xfId="0" applyFont="1" applyBorder="1" applyAlignment="1">
      <alignment horizontal="right" vertical="center"/>
    </xf>
    <xf numFmtId="0" fontId="52" fillId="2" borderId="199" xfId="0" applyFont="1" applyFill="1" applyBorder="1" applyAlignment="1">
      <alignment vertical="center" wrapText="1"/>
    </xf>
    <xf numFmtId="0" fontId="52" fillId="2" borderId="249" xfId="0" applyFont="1" applyFill="1" applyBorder="1">
      <alignment vertical="center"/>
    </xf>
    <xf numFmtId="0" fontId="52" fillId="2" borderId="249" xfId="0" applyFont="1" applyFill="1" applyBorder="1" applyAlignment="1">
      <alignment vertical="center" wrapText="1"/>
    </xf>
    <xf numFmtId="0" fontId="9" fillId="47" borderId="199" xfId="0" applyFont="1" applyFill="1" applyBorder="1">
      <alignment vertical="center"/>
    </xf>
    <xf numFmtId="0" fontId="9" fillId="48" borderId="199" xfId="0" applyFont="1" applyFill="1" applyBorder="1">
      <alignment vertical="center"/>
    </xf>
    <xf numFmtId="0" fontId="9" fillId="49" borderId="199" xfId="0" applyFont="1" applyFill="1" applyBorder="1">
      <alignment vertical="center"/>
    </xf>
    <xf numFmtId="0" fontId="47" fillId="30" borderId="200" xfId="0" applyFont="1" applyFill="1" applyBorder="1">
      <alignment vertical="center"/>
    </xf>
    <xf numFmtId="0" fontId="9" fillId="49" borderId="200" xfId="0" applyFont="1" applyFill="1" applyBorder="1" applyAlignment="1">
      <alignment horizontal="left" vertical="center"/>
    </xf>
    <xf numFmtId="0" fontId="9" fillId="2" borderId="200" xfId="0" applyFont="1" applyFill="1" applyBorder="1" applyAlignment="1">
      <alignment horizontal="left" vertical="center"/>
    </xf>
    <xf numFmtId="0" fontId="32" fillId="5" borderId="200" xfId="0" applyFont="1" applyFill="1" applyBorder="1" applyAlignment="1"/>
    <xf numFmtId="0" fontId="49" fillId="5" borderId="200" xfId="0" applyFont="1" applyFill="1" applyBorder="1">
      <alignment vertical="center"/>
    </xf>
    <xf numFmtId="0" fontId="49" fillId="5" borderId="267" xfId="0" applyFont="1" applyFill="1" applyBorder="1">
      <alignment vertical="center"/>
    </xf>
    <xf numFmtId="0" fontId="49" fillId="5" borderId="199" xfId="0" applyFont="1" applyFill="1" applyBorder="1">
      <alignment vertical="center"/>
    </xf>
    <xf numFmtId="177" fontId="12" fillId="0" borderId="198" xfId="0" applyNumberFormat="1" applyFont="1" applyBorder="1" applyAlignment="1">
      <alignment horizontal="right" vertical="center"/>
    </xf>
    <xf numFmtId="177" fontId="7" fillId="0" borderId="200" xfId="0" applyNumberFormat="1" applyFont="1" applyBorder="1">
      <alignment vertical="center"/>
    </xf>
    <xf numFmtId="177" fontId="12" fillId="0" borderId="200" xfId="0" applyNumberFormat="1" applyFont="1" applyBorder="1" applyAlignment="1">
      <alignment horizontal="right" vertical="center"/>
    </xf>
    <xf numFmtId="177" fontId="12" fillId="0" borderId="267" xfId="0" applyNumberFormat="1" applyFont="1" applyBorder="1" applyAlignment="1">
      <alignment horizontal="right" vertical="center"/>
    </xf>
    <xf numFmtId="0" fontId="37" fillId="5" borderId="200" xfId="0" applyFont="1" applyFill="1" applyBorder="1">
      <alignment vertical="center"/>
    </xf>
    <xf numFmtId="0" fontId="37" fillId="5" borderId="199" xfId="0" applyFont="1" applyFill="1" applyBorder="1" applyAlignment="1">
      <alignment vertical="center" wrapText="1"/>
    </xf>
    <xf numFmtId="0" fontId="7" fillId="6" borderId="268" xfId="0" applyFont="1" applyFill="1" applyBorder="1">
      <alignment vertical="center"/>
    </xf>
    <xf numFmtId="0" fontId="7" fillId="6" borderId="269" xfId="0" applyFont="1" applyFill="1" applyBorder="1">
      <alignment vertical="center"/>
    </xf>
    <xf numFmtId="0" fontId="7" fillId="6" borderId="270" xfId="0" applyFont="1" applyFill="1" applyBorder="1">
      <alignment vertical="center"/>
    </xf>
    <xf numFmtId="0" fontId="3" fillId="0" borderId="0" xfId="9" applyFont="1">
      <alignment vertical="center"/>
    </xf>
    <xf numFmtId="0" fontId="3" fillId="0" borderId="0" xfId="9" applyFont="1" applyAlignment="1">
      <alignment horizontal="right" vertical="center"/>
    </xf>
    <xf numFmtId="0" fontId="3" fillId="34" borderId="184" xfId="9" applyFont="1" applyFill="1" applyBorder="1">
      <alignment vertical="center"/>
    </xf>
    <xf numFmtId="182" fontId="0" fillId="0" borderId="271" xfId="0" applyNumberFormat="1" applyBorder="1" applyAlignment="1">
      <alignment horizontal="center" vertical="center"/>
    </xf>
    <xf numFmtId="0" fontId="21" fillId="7" borderId="273" xfId="0" applyFont="1" applyFill="1" applyBorder="1" applyAlignment="1">
      <alignment horizontal="left" vertical="center"/>
    </xf>
    <xf numFmtId="0" fontId="15" fillId="7" borderId="273" xfId="0" applyFont="1" applyFill="1" applyBorder="1" applyAlignment="1">
      <alignment horizontal="center" vertical="center"/>
    </xf>
    <xf numFmtId="179" fontId="24" fillId="0" borderId="253" xfId="0" applyNumberFormat="1" applyFont="1" applyBorder="1" applyAlignment="1">
      <alignment horizontal="center" vertical="center"/>
    </xf>
    <xf numFmtId="179" fontId="24" fillId="0" borderId="272" xfId="0" applyNumberFormat="1" applyFont="1" applyBorder="1" applyAlignment="1">
      <alignment horizontal="center" vertical="center"/>
    </xf>
    <xf numFmtId="0" fontId="3" fillId="0" borderId="203" xfId="4" applyFont="1" applyBorder="1">
      <alignment vertical="center"/>
    </xf>
    <xf numFmtId="0" fontId="6" fillId="41" borderId="252" xfId="4" applyFill="1" applyBorder="1">
      <alignment vertical="center"/>
    </xf>
    <xf numFmtId="0" fontId="3" fillId="13" borderId="89" xfId="4" applyFont="1" applyFill="1" applyBorder="1">
      <alignment vertical="center"/>
    </xf>
    <xf numFmtId="0" fontId="3" fillId="34" borderId="89" xfId="4" applyFont="1" applyFill="1" applyBorder="1">
      <alignment vertical="center"/>
    </xf>
    <xf numFmtId="0" fontId="3" fillId="0" borderId="0" xfId="4" applyFont="1">
      <alignment vertical="center"/>
    </xf>
    <xf numFmtId="0" fontId="3" fillId="30" borderId="89" xfId="4" applyFont="1" applyFill="1" applyBorder="1">
      <alignment vertical="center"/>
    </xf>
    <xf numFmtId="0" fontId="3" fillId="0" borderId="11" xfId="4" applyFont="1" applyBorder="1">
      <alignment vertical="center"/>
    </xf>
    <xf numFmtId="0" fontId="3" fillId="0" borderId="130" xfId="4" applyFont="1" applyBorder="1">
      <alignment vertical="center"/>
    </xf>
    <xf numFmtId="180" fontId="3" fillId="0" borderId="272" xfId="4" applyNumberFormat="1" applyFont="1" applyBorder="1" applyProtection="1">
      <alignment vertical="center"/>
      <protection locked="0"/>
    </xf>
    <xf numFmtId="0" fontId="6" fillId="0" borderId="272" xfId="4" applyBorder="1" applyProtection="1">
      <alignment vertical="center"/>
      <protection locked="0"/>
    </xf>
    <xf numFmtId="180" fontId="6" fillId="0" borderId="272" xfId="4" applyNumberFormat="1" applyBorder="1" applyProtection="1">
      <alignment vertical="center"/>
      <protection locked="0"/>
    </xf>
    <xf numFmtId="0" fontId="3" fillId="0" borderId="0" xfId="4" applyFont="1" applyAlignment="1">
      <alignment horizontal="left" vertical="center"/>
    </xf>
    <xf numFmtId="180" fontId="3" fillId="0" borderId="11" xfId="4" applyNumberFormat="1" applyFont="1" applyBorder="1" applyProtection="1">
      <alignment vertical="center"/>
      <protection locked="0"/>
    </xf>
    <xf numFmtId="0" fontId="3" fillId="35" borderId="131" xfId="4" applyFont="1" applyFill="1" applyBorder="1">
      <alignment vertical="center"/>
    </xf>
    <xf numFmtId="0" fontId="3" fillId="13" borderId="158" xfId="4" applyFont="1" applyFill="1" applyBorder="1">
      <alignment vertical="center"/>
    </xf>
    <xf numFmtId="0" fontId="3" fillId="0" borderId="138" xfId="4" applyFont="1" applyBorder="1">
      <alignment vertical="center"/>
    </xf>
    <xf numFmtId="0" fontId="3" fillId="13" borderId="38" xfId="4" applyFont="1" applyFill="1" applyBorder="1">
      <alignment vertical="center"/>
    </xf>
    <xf numFmtId="180" fontId="3" fillId="37" borderId="233" xfId="4" applyNumberFormat="1" applyFont="1" applyFill="1" applyBorder="1">
      <alignment vertical="center"/>
    </xf>
    <xf numFmtId="0" fontId="3" fillId="13" borderId="140" xfId="4" applyFont="1" applyFill="1" applyBorder="1">
      <alignment vertical="center"/>
    </xf>
    <xf numFmtId="180" fontId="3" fillId="37" borderId="131" xfId="4" applyNumberFormat="1" applyFont="1" applyFill="1" applyBorder="1">
      <alignment vertical="center"/>
    </xf>
    <xf numFmtId="180" fontId="6" fillId="58" borderId="272" xfId="4" applyNumberFormat="1" applyFill="1" applyBorder="1">
      <alignment vertical="center"/>
    </xf>
    <xf numFmtId="0" fontId="3" fillId="37" borderId="11" xfId="4" applyFont="1" applyFill="1" applyBorder="1">
      <alignment vertical="center"/>
    </xf>
    <xf numFmtId="0" fontId="3" fillId="13" borderId="45" xfId="4" applyFont="1" applyFill="1" applyBorder="1">
      <alignment vertical="center"/>
    </xf>
    <xf numFmtId="180" fontId="3" fillId="58" borderId="272" xfId="4" applyNumberFormat="1" applyFont="1" applyFill="1" applyBorder="1">
      <alignment vertical="center"/>
    </xf>
    <xf numFmtId="0" fontId="3" fillId="0" borderId="231" xfId="4" applyFont="1" applyBorder="1">
      <alignment vertical="center"/>
    </xf>
    <xf numFmtId="0" fontId="3" fillId="46" borderId="130" xfId="4" applyFont="1" applyFill="1" applyBorder="1">
      <alignment vertical="center"/>
    </xf>
    <xf numFmtId="0" fontId="3" fillId="32" borderId="45" xfId="4" applyFont="1" applyFill="1" applyBorder="1">
      <alignment vertical="center"/>
    </xf>
    <xf numFmtId="0" fontId="3" fillId="46" borderId="202" xfId="4" applyFont="1" applyFill="1" applyBorder="1">
      <alignment vertical="center"/>
    </xf>
    <xf numFmtId="0" fontId="3" fillId="0" borderId="89" xfId="4" applyFont="1" applyBorder="1">
      <alignment vertical="center"/>
    </xf>
    <xf numFmtId="180" fontId="3" fillId="0" borderId="138" xfId="4" applyNumberFormat="1" applyFont="1" applyBorder="1">
      <alignment vertical="center"/>
    </xf>
    <xf numFmtId="0" fontId="3" fillId="38" borderId="89" xfId="4" applyFont="1" applyFill="1" applyBorder="1">
      <alignment vertical="center"/>
    </xf>
    <xf numFmtId="0" fontId="3" fillId="34" borderId="38" xfId="4" applyFont="1" applyFill="1" applyBorder="1">
      <alignment vertical="center"/>
    </xf>
    <xf numFmtId="180" fontId="3" fillId="44" borderId="233" xfId="4" applyNumberFormat="1" applyFont="1" applyFill="1" applyBorder="1">
      <alignment vertical="center"/>
    </xf>
    <xf numFmtId="0" fontId="3" fillId="38" borderId="132" xfId="4" applyFont="1" applyFill="1" applyBorder="1">
      <alignment vertical="center"/>
    </xf>
    <xf numFmtId="0" fontId="3" fillId="34" borderId="140" xfId="4" applyFont="1" applyFill="1" applyBorder="1">
      <alignment vertical="center"/>
    </xf>
    <xf numFmtId="180" fontId="3" fillId="44" borderId="131" xfId="4" applyNumberFormat="1" applyFont="1" applyFill="1" applyBorder="1">
      <alignment vertical="center"/>
    </xf>
    <xf numFmtId="180" fontId="3" fillId="0" borderId="0" xfId="4" applyNumberFormat="1" applyFont="1">
      <alignment vertical="center"/>
    </xf>
    <xf numFmtId="0" fontId="3" fillId="39" borderId="11" xfId="4" applyFont="1" applyFill="1" applyBorder="1">
      <alignment vertical="center"/>
    </xf>
    <xf numFmtId="0" fontId="3" fillId="30" borderId="23" xfId="4" applyFont="1" applyFill="1" applyBorder="1">
      <alignment vertical="center"/>
    </xf>
    <xf numFmtId="180" fontId="3" fillId="45" borderId="202" xfId="4" applyNumberFormat="1" applyFont="1" applyFill="1" applyBorder="1">
      <alignment vertical="center"/>
    </xf>
    <xf numFmtId="0" fontId="3" fillId="35" borderId="254" xfId="4" applyFont="1" applyFill="1" applyBorder="1">
      <alignment vertical="center"/>
    </xf>
    <xf numFmtId="0" fontId="3" fillId="0" borderId="166" xfId="4" applyFont="1" applyBorder="1">
      <alignment vertical="center"/>
    </xf>
    <xf numFmtId="0" fontId="3" fillId="40" borderId="11" xfId="4" applyFont="1" applyFill="1" applyBorder="1">
      <alignment vertical="center"/>
    </xf>
    <xf numFmtId="0" fontId="3" fillId="35" borderId="23" xfId="4" applyFont="1" applyFill="1" applyBorder="1">
      <alignment vertical="center"/>
    </xf>
    <xf numFmtId="0" fontId="108" fillId="0" borderId="272" xfId="6" applyFont="1" applyBorder="1" applyAlignment="1">
      <alignment vertical="center" shrinkToFit="1"/>
    </xf>
    <xf numFmtId="0" fontId="0" fillId="0" borderId="278" xfId="0" applyBorder="1" applyAlignment="1">
      <alignment horizontal="center" vertical="center"/>
    </xf>
    <xf numFmtId="0" fontId="0" fillId="0" borderId="279" xfId="0" applyBorder="1" applyAlignment="1">
      <alignment horizontal="center" vertical="center"/>
    </xf>
    <xf numFmtId="190" fontId="0" fillId="0" borderId="272" xfId="0" applyNumberFormat="1" applyBorder="1">
      <alignment vertical="center"/>
    </xf>
    <xf numFmtId="179" fontId="0" fillId="0" borderId="280" xfId="0" applyNumberFormat="1" applyBorder="1">
      <alignment vertical="center"/>
    </xf>
    <xf numFmtId="0" fontId="0" fillId="0" borderId="281" xfId="0" applyBorder="1" applyAlignment="1">
      <alignment horizontal="center" vertical="center"/>
    </xf>
    <xf numFmtId="183" fontId="0" fillId="0" borderId="281" xfId="0" applyNumberFormat="1" applyBorder="1">
      <alignment vertical="center"/>
    </xf>
    <xf numFmtId="189" fontId="0" fillId="0" borderId="281" xfId="0" applyNumberFormat="1" applyBorder="1">
      <alignment vertical="center"/>
    </xf>
    <xf numFmtId="189" fontId="0" fillId="0" borderId="282" xfId="0" applyNumberFormat="1" applyBorder="1">
      <alignment vertical="center"/>
    </xf>
    <xf numFmtId="189" fontId="0" fillId="0" borderId="283" xfId="0" applyNumberFormat="1" applyBorder="1">
      <alignment vertical="center"/>
    </xf>
    <xf numFmtId="0" fontId="0" fillId="16" borderId="287" xfId="0" applyFill="1" applyBorder="1" applyAlignment="1">
      <alignment horizontal="center" vertical="center"/>
    </xf>
    <xf numFmtId="0" fontId="88" fillId="0" borderId="288" xfId="0" applyFont="1" applyBorder="1" applyAlignment="1">
      <alignment horizontal="center" vertical="center"/>
    </xf>
    <xf numFmtId="187" fontId="0" fillId="0" borderId="289" xfId="0" applyNumberFormat="1" applyBorder="1">
      <alignment vertical="center"/>
    </xf>
    <xf numFmtId="187" fontId="0" fillId="0" borderId="288" xfId="0" applyNumberFormat="1" applyBorder="1">
      <alignment vertical="center"/>
    </xf>
    <xf numFmtId="180" fontId="0" fillId="0" borderId="288" xfId="0" applyNumberFormat="1" applyBorder="1">
      <alignment vertical="center"/>
    </xf>
    <xf numFmtId="180" fontId="0" fillId="0" borderId="289" xfId="0" applyNumberFormat="1" applyBorder="1">
      <alignment vertical="center"/>
    </xf>
    <xf numFmtId="0" fontId="0" fillId="0" borderId="285" xfId="0" applyBorder="1" applyAlignment="1">
      <alignment horizontal="center" vertical="center"/>
    </xf>
    <xf numFmtId="0" fontId="0" fillId="0" borderId="286" xfId="0" applyBorder="1" applyAlignment="1">
      <alignment horizontal="center" vertical="center"/>
    </xf>
    <xf numFmtId="190" fontId="0" fillId="0" borderId="272" xfId="0" applyNumberFormat="1" applyBorder="1" applyAlignment="1">
      <alignment horizontal="center" vertical="center"/>
    </xf>
    <xf numFmtId="183" fontId="0" fillId="0" borderId="254" xfId="0" applyNumberFormat="1" applyBorder="1">
      <alignment vertical="center"/>
    </xf>
    <xf numFmtId="183" fontId="0" fillId="0" borderId="282" xfId="0" applyNumberFormat="1" applyBorder="1">
      <alignment vertical="center"/>
    </xf>
    <xf numFmtId="183" fontId="0" fillId="0" borderId="87" xfId="0" applyNumberFormat="1" applyBorder="1">
      <alignment vertical="center"/>
    </xf>
    <xf numFmtId="0" fontId="0" fillId="23" borderId="287" xfId="0" applyFill="1" applyBorder="1" applyAlignment="1">
      <alignment horizontal="center" vertical="center"/>
    </xf>
    <xf numFmtId="0" fontId="88" fillId="0" borderId="290" xfId="0" applyFont="1" applyBorder="1" applyAlignment="1">
      <alignment horizontal="center" vertical="center"/>
    </xf>
    <xf numFmtId="183" fontId="0" fillId="0" borderId="290" xfId="0" applyNumberFormat="1" applyBorder="1">
      <alignment vertical="center"/>
    </xf>
    <xf numFmtId="0" fontId="0" fillId="20" borderId="87" xfId="0" applyFill="1" applyBorder="1">
      <alignment vertical="center"/>
    </xf>
    <xf numFmtId="0" fontId="2" fillId="34" borderId="0" xfId="4" applyFont="1" applyFill="1" applyAlignment="1">
      <alignment horizontal="right" vertical="center"/>
    </xf>
    <xf numFmtId="183" fontId="46" fillId="54" borderId="33" xfId="0" applyNumberFormat="1" applyFont="1" applyFill="1" applyBorder="1" applyAlignment="1" applyProtection="1">
      <alignment horizontal="right" vertical="center"/>
      <protection locked="0"/>
    </xf>
    <xf numFmtId="183" fontId="46" fillId="54" borderId="34" xfId="0" applyNumberFormat="1" applyFont="1" applyFill="1" applyBorder="1" applyAlignment="1" applyProtection="1">
      <alignment horizontal="right" vertical="center"/>
      <protection locked="0"/>
    </xf>
    <xf numFmtId="179" fontId="12" fillId="4" borderId="123" xfId="0" applyNumberFormat="1" applyFont="1" applyFill="1" applyBorder="1" applyAlignment="1">
      <alignment horizontal="center" vertical="center"/>
    </xf>
    <xf numFmtId="0" fontId="7" fillId="13" borderId="122" xfId="0" applyFont="1" applyFill="1" applyBorder="1">
      <alignment vertical="center"/>
    </xf>
    <xf numFmtId="0" fontId="7" fillId="13" borderId="123" xfId="0" applyFont="1" applyFill="1" applyBorder="1">
      <alignment vertical="center"/>
    </xf>
    <xf numFmtId="0" fontId="37" fillId="9" borderId="133" xfId="0" applyFont="1" applyFill="1" applyBorder="1" applyAlignment="1">
      <alignment vertical="center" shrinkToFit="1"/>
    </xf>
    <xf numFmtId="0" fontId="37" fillId="9" borderId="137" xfId="0" applyFont="1" applyFill="1" applyBorder="1" applyAlignment="1">
      <alignment vertical="center" shrinkToFit="1"/>
    </xf>
    <xf numFmtId="183" fontId="23" fillId="4" borderId="137" xfId="0" applyNumberFormat="1" applyFont="1" applyFill="1" applyBorder="1">
      <alignment vertical="center"/>
    </xf>
    <xf numFmtId="183" fontId="23" fillId="4" borderId="134" xfId="0" applyNumberFormat="1" applyFont="1" applyFill="1" applyBorder="1">
      <alignment vertical="center"/>
    </xf>
    <xf numFmtId="177" fontId="24" fillId="2" borderId="205" xfId="3" applyFont="1" applyFill="1" applyBorder="1" applyAlignment="1">
      <alignment vertical="center"/>
    </xf>
    <xf numFmtId="177" fontId="24" fillId="47" borderId="205" xfId="3" applyFont="1" applyFill="1" applyBorder="1" applyAlignment="1">
      <alignment vertical="center"/>
    </xf>
    <xf numFmtId="177" fontId="24" fillId="48" borderId="205" xfId="3" applyFont="1" applyFill="1" applyBorder="1" applyAlignment="1">
      <alignment vertical="center" shrinkToFit="1"/>
    </xf>
    <xf numFmtId="0" fontId="50" fillId="5" borderId="205" xfId="0" applyFont="1" applyFill="1" applyBorder="1" applyAlignment="1">
      <alignment horizontal="center" vertical="center" shrinkToFit="1"/>
    </xf>
    <xf numFmtId="177" fontId="24" fillId="2" borderId="204" xfId="3" applyFont="1" applyFill="1" applyBorder="1" applyAlignment="1">
      <alignment vertical="center"/>
    </xf>
    <xf numFmtId="177" fontId="24" fillId="47" borderId="204" xfId="3" applyFont="1" applyFill="1" applyBorder="1" applyAlignment="1">
      <alignment vertical="center"/>
    </xf>
    <xf numFmtId="0" fontId="9" fillId="0" borderId="22" xfId="0" applyFont="1" applyBorder="1" applyAlignment="1">
      <alignment horizontal="center" vertical="center"/>
    </xf>
    <xf numFmtId="0" fontId="0" fillId="13" borderId="122" xfId="0" applyFill="1" applyBorder="1">
      <alignment vertical="center"/>
    </xf>
    <xf numFmtId="0" fontId="0" fillId="13" borderId="123" xfId="0" applyFill="1" applyBorder="1">
      <alignment vertical="center"/>
    </xf>
    <xf numFmtId="0" fontId="37" fillId="9" borderId="198" xfId="0" applyFont="1" applyFill="1" applyBorder="1" applyAlignment="1">
      <alignment vertical="center" shrinkToFit="1"/>
    </xf>
    <xf numFmtId="0" fontId="37" fillId="9" borderId="200" xfId="0" applyFont="1" applyFill="1" applyBorder="1" applyAlignment="1">
      <alignment vertical="center" shrinkToFit="1"/>
    </xf>
    <xf numFmtId="183" fontId="23" fillId="4" borderId="256" xfId="0" applyNumberFormat="1" applyFont="1" applyFill="1" applyBorder="1">
      <alignment vertical="center"/>
    </xf>
    <xf numFmtId="0" fontId="52" fillId="2" borderId="123" xfId="0" applyFont="1" applyFill="1" applyBorder="1" applyAlignment="1">
      <alignment horizontal="center" vertical="center" wrapText="1"/>
    </xf>
    <xf numFmtId="0" fontId="52" fillId="2" borderId="149" xfId="0" applyFont="1" applyFill="1" applyBorder="1" applyAlignment="1">
      <alignment horizontal="center" vertical="center" wrapText="1"/>
    </xf>
    <xf numFmtId="0" fontId="53" fillId="2" borderId="259" xfId="0" applyFont="1" applyFill="1" applyBorder="1" applyAlignment="1">
      <alignment vertical="center" wrapText="1" shrinkToFit="1"/>
    </xf>
    <xf numFmtId="0" fontId="53" fillId="2" borderId="256" xfId="0" applyFont="1" applyFill="1" applyBorder="1" applyAlignment="1">
      <alignment vertical="center" wrapText="1" shrinkToFit="1"/>
    </xf>
    <xf numFmtId="0" fontId="53" fillId="2" borderId="260" xfId="0" applyFont="1" applyFill="1" applyBorder="1" applyAlignment="1">
      <alignment vertical="center" wrapText="1" shrinkToFit="1"/>
    </xf>
    <xf numFmtId="0" fontId="7" fillId="13" borderId="126" xfId="0" applyFont="1" applyFill="1" applyBorder="1" applyAlignment="1">
      <alignment horizontal="center" vertical="center" wrapText="1"/>
    </xf>
    <xf numFmtId="0" fontId="7" fillId="13" borderId="125" xfId="0" applyFont="1" applyFill="1" applyBorder="1" applyAlignment="1">
      <alignment horizontal="center" vertical="center" wrapText="1"/>
    </xf>
    <xf numFmtId="0" fontId="7" fillId="13" borderId="151" xfId="0"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128" xfId="0" applyFont="1" applyFill="1" applyBorder="1" applyAlignment="1">
      <alignment horizontal="center" vertical="center" wrapText="1"/>
    </xf>
    <xf numFmtId="0" fontId="7" fillId="13" borderId="120" xfId="0" applyFont="1" applyFill="1" applyBorder="1" applyAlignment="1">
      <alignment horizontal="center" vertical="center" wrapText="1"/>
    </xf>
    <xf numFmtId="0" fontId="37" fillId="9" borderId="198" xfId="0" applyFont="1" applyFill="1" applyBorder="1" applyAlignment="1">
      <alignment horizontal="center" vertical="center"/>
    </xf>
    <xf numFmtId="0" fontId="37" fillId="9" borderId="200" xfId="0" applyFont="1" applyFill="1" applyBorder="1" applyAlignment="1">
      <alignment horizontal="center" vertical="center"/>
    </xf>
    <xf numFmtId="0" fontId="37" fillId="9" borderId="199" xfId="0" applyFont="1" applyFill="1" applyBorder="1" applyAlignment="1">
      <alignment horizontal="center" vertical="center"/>
    </xf>
    <xf numFmtId="0" fontId="37" fillId="9" borderId="159" xfId="0" applyFont="1" applyFill="1" applyBorder="1" applyAlignment="1">
      <alignment horizontal="center" vertical="center"/>
    </xf>
    <xf numFmtId="0" fontId="37" fillId="9" borderId="0" xfId="0" applyFont="1" applyFill="1" applyAlignment="1">
      <alignment horizontal="center" vertical="center"/>
    </xf>
    <xf numFmtId="0" fontId="37" fillId="9" borderId="249" xfId="0" applyFont="1" applyFill="1" applyBorder="1" applyAlignment="1">
      <alignment horizontal="center" vertical="center"/>
    </xf>
    <xf numFmtId="180" fontId="11" fillId="50" borderId="256" xfId="0" applyNumberFormat="1" applyFont="1" applyFill="1" applyBorder="1" applyAlignment="1">
      <alignment horizontal="right" vertical="center"/>
    </xf>
    <xf numFmtId="179" fontId="12" fillId="4" borderId="125" xfId="0" applyNumberFormat="1" applyFont="1" applyFill="1" applyBorder="1" applyAlignment="1">
      <alignment horizontal="center" shrinkToFit="1"/>
    </xf>
    <xf numFmtId="179" fontId="12" fillId="4" borderId="127" xfId="0" applyNumberFormat="1" applyFont="1" applyFill="1" applyBorder="1" applyAlignment="1">
      <alignment horizontal="center" shrinkToFit="1"/>
    </xf>
    <xf numFmtId="179" fontId="12" fillId="4" borderId="0" xfId="0" applyNumberFormat="1" applyFont="1" applyFill="1" applyAlignment="1">
      <alignment horizontal="center" vertical="top"/>
    </xf>
    <xf numFmtId="179" fontId="12" fillId="4" borderId="143" xfId="0" applyNumberFormat="1" applyFont="1" applyFill="1" applyBorder="1" applyAlignment="1">
      <alignment horizontal="center" vertical="top"/>
    </xf>
    <xf numFmtId="183" fontId="23" fillId="4" borderId="200" xfId="0" applyNumberFormat="1" applyFont="1" applyFill="1" applyBorder="1">
      <alignment vertical="center"/>
    </xf>
    <xf numFmtId="183" fontId="23" fillId="4" borderId="199" xfId="0" applyNumberFormat="1" applyFont="1" applyFill="1" applyBorder="1">
      <alignment vertical="center"/>
    </xf>
    <xf numFmtId="0" fontId="37" fillId="9" borderId="255" xfId="0" applyFont="1" applyFill="1" applyBorder="1" applyAlignment="1">
      <alignment vertical="center" shrinkToFit="1"/>
    </xf>
    <xf numFmtId="0" fontId="37" fillId="9" borderId="256" xfId="0" applyFont="1" applyFill="1" applyBorder="1" applyAlignment="1">
      <alignment vertical="center" shrinkToFit="1"/>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177" fontId="23" fillId="2" borderId="185" xfId="3" applyFont="1" applyFill="1" applyBorder="1" applyAlignment="1">
      <alignment vertical="center" shrinkToFit="1"/>
    </xf>
    <xf numFmtId="177" fontId="23" fillId="2" borderId="150" xfId="3" applyFont="1" applyFill="1" applyBorder="1" applyAlignment="1">
      <alignment vertical="center" shrinkToFit="1"/>
    </xf>
    <xf numFmtId="0" fontId="9" fillId="48" borderId="204" xfId="0" applyFont="1" applyFill="1" applyBorder="1" applyAlignment="1">
      <alignment horizontal="center" vertical="center"/>
    </xf>
    <xf numFmtId="0" fontId="9" fillId="48" borderId="207" xfId="0" applyFont="1" applyFill="1" applyBorder="1" applyAlignment="1">
      <alignment horizontal="center" vertical="center"/>
    </xf>
    <xf numFmtId="0" fontId="12" fillId="0" borderId="0" xfId="0" applyFont="1" applyAlignment="1">
      <alignment horizontal="left" wrapText="1"/>
    </xf>
    <xf numFmtId="10" fontId="69" fillId="52" borderId="126" xfId="0" applyNumberFormat="1" applyFont="1" applyFill="1" applyBorder="1" applyAlignment="1">
      <alignment horizontal="right" vertical="center"/>
    </xf>
    <xf numFmtId="10" fontId="69" fillId="52" borderId="127" xfId="0" applyNumberFormat="1" applyFont="1" applyFill="1" applyBorder="1" applyAlignment="1">
      <alignment horizontal="right" vertical="center"/>
    </xf>
    <xf numFmtId="0" fontId="9" fillId="48" borderId="118" xfId="0" applyFont="1" applyFill="1" applyBorder="1" applyAlignment="1">
      <alignment horizontal="center" vertical="center"/>
    </xf>
    <xf numFmtId="0" fontId="45" fillId="9" borderId="151" xfId="0" applyFont="1" applyFill="1" applyBorder="1" applyAlignment="1">
      <alignment horizontal="center" vertical="center"/>
    </xf>
    <xf numFmtId="0" fontId="45" fillId="9" borderId="143" xfId="0" applyFont="1" applyFill="1" applyBorder="1" applyAlignment="1">
      <alignment horizontal="center" vertical="center"/>
    </xf>
    <xf numFmtId="0" fontId="45" fillId="9" borderId="128" xfId="0" applyFont="1" applyFill="1" applyBorder="1" applyAlignment="1">
      <alignment horizontal="center" vertical="center"/>
    </xf>
    <xf numFmtId="0" fontId="45" fillId="9" borderId="129" xfId="0" applyFont="1" applyFill="1" applyBorder="1" applyAlignment="1">
      <alignment horizontal="center" vertical="center"/>
    </xf>
    <xf numFmtId="178" fontId="37" fillId="12" borderId="33" xfId="0" applyNumberFormat="1" applyFont="1" applyFill="1" applyBorder="1" applyAlignment="1" applyProtection="1">
      <alignment vertical="center" shrinkToFit="1"/>
      <protection locked="0"/>
    </xf>
    <xf numFmtId="178" fontId="37" fillId="12" borderId="157" xfId="0" applyNumberFormat="1" applyFont="1" applyFill="1" applyBorder="1" applyAlignment="1" applyProtection="1">
      <alignment vertical="center" shrinkToFit="1"/>
      <protection locked="0"/>
    </xf>
    <xf numFmtId="178" fontId="37" fillId="12" borderId="34" xfId="0" applyNumberFormat="1" applyFont="1" applyFill="1" applyBorder="1" applyAlignment="1" applyProtection="1">
      <alignment vertical="center" shrinkToFit="1"/>
      <protection locked="0"/>
    </xf>
    <xf numFmtId="181" fontId="22" fillId="2" borderId="204" xfId="0" applyNumberFormat="1" applyFont="1" applyFill="1" applyBorder="1">
      <alignment vertical="center"/>
    </xf>
    <xf numFmtId="181" fontId="22" fillId="2" borderId="205" xfId="0" applyNumberFormat="1" applyFont="1" applyFill="1" applyBorder="1">
      <alignment vertical="center"/>
    </xf>
    <xf numFmtId="181" fontId="22" fillId="47" borderId="204" xfId="0" applyNumberFormat="1" applyFont="1" applyFill="1" applyBorder="1">
      <alignment vertical="center"/>
    </xf>
    <xf numFmtId="181" fontId="22" fillId="47" borderId="205" xfId="0" applyNumberFormat="1" applyFont="1" applyFill="1" applyBorder="1">
      <alignment vertical="center"/>
    </xf>
    <xf numFmtId="0" fontId="9" fillId="2" borderId="159" xfId="0" applyFont="1" applyFill="1" applyBorder="1" applyAlignment="1">
      <alignment horizontal="left" vertical="center" shrinkToFit="1"/>
    </xf>
    <xf numFmtId="0" fontId="9" fillId="2" borderId="0" xfId="0" applyFont="1" applyFill="1" applyAlignment="1">
      <alignment horizontal="left" vertical="center" shrinkToFit="1"/>
    </xf>
    <xf numFmtId="181" fontId="11" fillId="8" borderId="166" xfId="0" applyNumberFormat="1" applyFont="1" applyFill="1" applyBorder="1" applyAlignment="1" applyProtection="1">
      <alignment horizontal="center" vertical="center"/>
      <protection locked="0"/>
    </xf>
    <xf numFmtId="181" fontId="11" fillId="8" borderId="64" xfId="0" applyNumberFormat="1" applyFont="1" applyFill="1" applyBorder="1" applyAlignment="1" applyProtection="1">
      <alignment horizontal="center" vertical="center"/>
      <protection locked="0"/>
    </xf>
    <xf numFmtId="181" fontId="22" fillId="49" borderId="217" xfId="0" applyNumberFormat="1" applyFont="1" applyFill="1" applyBorder="1">
      <alignment vertical="center"/>
    </xf>
    <xf numFmtId="181" fontId="22" fillId="49" borderId="211" xfId="0" applyNumberFormat="1" applyFont="1" applyFill="1" applyBorder="1">
      <alignment vertical="center"/>
    </xf>
    <xf numFmtId="177" fontId="24" fillId="49" borderId="217" xfId="3" applyFont="1" applyFill="1" applyBorder="1" applyAlignment="1">
      <alignment vertical="center" shrinkToFit="1"/>
    </xf>
    <xf numFmtId="177" fontId="24" fillId="49" borderId="211" xfId="3" applyFont="1" applyFill="1" applyBorder="1" applyAlignment="1">
      <alignment vertical="center" shrinkToFit="1"/>
    </xf>
    <xf numFmtId="0" fontId="52" fillId="2" borderId="198" xfId="0" applyFont="1" applyFill="1" applyBorder="1" applyAlignment="1">
      <alignment horizontal="left" vertical="center" wrapText="1"/>
    </xf>
    <xf numFmtId="0" fontId="52" fillId="2" borderId="200" xfId="0" applyFont="1" applyFill="1" applyBorder="1" applyAlignment="1">
      <alignment horizontal="left" vertical="center" wrapText="1"/>
    </xf>
    <xf numFmtId="177" fontId="24" fillId="48" borderId="204" xfId="3" applyFont="1" applyFill="1" applyBorder="1" applyAlignment="1">
      <alignment vertical="center" shrinkToFit="1"/>
    </xf>
    <xf numFmtId="0" fontId="37" fillId="34" borderId="204" xfId="0" applyFont="1" applyFill="1" applyBorder="1">
      <alignment vertical="center"/>
    </xf>
    <xf numFmtId="0" fontId="37" fillId="34" borderId="205" xfId="0" applyFont="1" applyFill="1" applyBorder="1">
      <alignment vertical="center"/>
    </xf>
    <xf numFmtId="0" fontId="37" fillId="32" borderId="200" xfId="0" applyFont="1" applyFill="1" applyBorder="1" applyAlignment="1">
      <alignment horizontal="center" vertical="center" wrapText="1"/>
    </xf>
    <xf numFmtId="0" fontId="37" fillId="32" borderId="199" xfId="0" applyFont="1" applyFill="1" applyBorder="1" applyAlignment="1">
      <alignment horizontal="center" vertical="center"/>
    </xf>
    <xf numFmtId="0" fontId="37" fillId="32" borderId="0" xfId="0" applyFont="1" applyFill="1" applyAlignment="1">
      <alignment horizontal="center" vertical="center"/>
    </xf>
    <xf numFmtId="0" fontId="37" fillId="32" borderId="249" xfId="0" applyFont="1" applyFill="1" applyBorder="1" applyAlignment="1">
      <alignment horizontal="center" vertical="center"/>
    </xf>
    <xf numFmtId="0" fontId="37" fillId="32" borderId="137" xfId="0" applyFont="1" applyFill="1" applyBorder="1" applyAlignment="1">
      <alignment horizontal="center" vertical="center"/>
    </xf>
    <xf numFmtId="0" fontId="37" fillId="32" borderId="134" xfId="0" applyFont="1" applyFill="1" applyBorder="1" applyAlignment="1">
      <alignment horizontal="center" vertical="center"/>
    </xf>
    <xf numFmtId="0" fontId="9" fillId="0" borderId="0" xfId="0" applyFont="1">
      <alignment vertical="center"/>
    </xf>
    <xf numFmtId="177" fontId="24" fillId="2" borderId="204" xfId="3" applyFont="1" applyFill="1" applyBorder="1" applyAlignment="1">
      <alignment vertical="center" shrinkToFit="1"/>
    </xf>
    <xf numFmtId="177" fontId="24" fillId="2" borderId="205" xfId="3" applyFont="1" applyFill="1" applyBorder="1" applyAlignment="1">
      <alignment vertical="center" shrinkToFit="1"/>
    </xf>
    <xf numFmtId="176" fontId="23" fillId="2" borderId="204" xfId="0" applyNumberFormat="1" applyFont="1" applyFill="1" applyBorder="1">
      <alignment vertical="center"/>
    </xf>
    <xf numFmtId="176" fontId="23" fillId="2" borderId="205" xfId="0" applyNumberFormat="1" applyFont="1" applyFill="1" applyBorder="1">
      <alignment vertical="center"/>
    </xf>
    <xf numFmtId="176" fontId="64" fillId="2" borderId="204" xfId="0" applyNumberFormat="1" applyFont="1" applyFill="1" applyBorder="1">
      <alignment vertical="center"/>
    </xf>
    <xf numFmtId="176" fontId="64" fillId="2" borderId="220" xfId="0" applyNumberFormat="1" applyFont="1" applyFill="1" applyBorder="1">
      <alignment vertical="center"/>
    </xf>
    <xf numFmtId="181" fontId="22" fillId="2" borderId="198" xfId="0" applyNumberFormat="1" applyFont="1" applyFill="1" applyBorder="1">
      <alignment vertical="center"/>
    </xf>
    <xf numFmtId="181" fontId="22" fillId="2" borderId="200" xfId="0" applyNumberFormat="1" applyFont="1" applyFill="1" applyBorder="1">
      <alignment vertical="center"/>
    </xf>
    <xf numFmtId="0" fontId="21" fillId="10" borderId="133" xfId="0" applyFont="1" applyFill="1" applyBorder="1" applyAlignment="1">
      <alignment horizontal="center" vertical="center"/>
    </xf>
    <xf numFmtId="0" fontId="21" fillId="10" borderId="137" xfId="0" applyFont="1" applyFill="1" applyBorder="1" applyAlignment="1">
      <alignment horizontal="center" vertical="center"/>
    </xf>
    <xf numFmtId="0" fontId="21" fillId="10" borderId="134" xfId="0" applyFont="1" applyFill="1" applyBorder="1" applyAlignment="1">
      <alignment horizontal="center" vertical="center"/>
    </xf>
    <xf numFmtId="0" fontId="37" fillId="12" borderId="33" xfId="0" applyFont="1" applyFill="1" applyBorder="1" applyAlignment="1" applyProtection="1">
      <alignment horizontal="center" vertical="center" shrinkToFit="1"/>
      <protection locked="0"/>
    </xf>
    <xf numFmtId="0" fontId="37" fillId="12" borderId="157" xfId="0" applyFont="1" applyFill="1" applyBorder="1" applyAlignment="1" applyProtection="1">
      <alignment horizontal="center" vertical="center" shrinkToFit="1"/>
      <protection locked="0"/>
    </xf>
    <xf numFmtId="0" fontId="37" fillId="12" borderId="34" xfId="0" applyFont="1" applyFill="1" applyBorder="1" applyAlignment="1" applyProtection="1">
      <alignment horizontal="center" vertical="center" shrinkToFit="1"/>
      <protection locked="0"/>
    </xf>
    <xf numFmtId="177" fontId="23" fillId="2" borderId="133" xfId="3" applyFont="1" applyFill="1" applyBorder="1" applyAlignment="1">
      <alignment vertical="center" shrinkToFit="1"/>
    </xf>
    <xf numFmtId="177" fontId="23" fillId="2" borderId="137" xfId="3" applyFont="1" applyFill="1" applyBorder="1" applyAlignment="1">
      <alignment vertical="center" shrinkToFit="1"/>
    </xf>
    <xf numFmtId="181" fontId="23" fillId="2" borderId="133" xfId="0" applyNumberFormat="1" applyFont="1" applyFill="1" applyBorder="1">
      <alignment vertical="center"/>
    </xf>
    <xf numFmtId="181" fontId="23" fillId="2" borderId="137" xfId="0" applyNumberFormat="1" applyFont="1" applyFill="1" applyBorder="1">
      <alignment vertical="center"/>
    </xf>
    <xf numFmtId="181" fontId="22" fillId="24" borderId="33" xfId="0" applyNumberFormat="1" applyFont="1" applyFill="1" applyBorder="1" applyProtection="1">
      <alignment vertical="center"/>
      <protection locked="0"/>
    </xf>
    <xf numFmtId="181" fontId="22" fillId="24" borderId="34" xfId="0" applyNumberFormat="1" applyFont="1" applyFill="1" applyBorder="1" applyProtection="1">
      <alignment vertical="center"/>
      <protection locked="0"/>
    </xf>
    <xf numFmtId="177" fontId="22" fillId="24" borderId="157" xfId="0" applyNumberFormat="1" applyFont="1" applyFill="1" applyBorder="1" applyProtection="1">
      <alignment vertical="center"/>
      <protection locked="0"/>
    </xf>
    <xf numFmtId="180" fontId="59" fillId="2" borderId="118" xfId="0" applyNumberFormat="1" applyFont="1" applyFill="1" applyBorder="1">
      <alignment vertical="center"/>
    </xf>
    <xf numFmtId="180" fontId="59" fillId="48" borderId="153" xfId="0" applyNumberFormat="1" applyFont="1" applyFill="1" applyBorder="1">
      <alignment vertical="center"/>
    </xf>
    <xf numFmtId="38" fontId="56" fillId="2" borderId="200" xfId="1" applyFont="1" applyFill="1" applyBorder="1" applyAlignment="1">
      <alignment vertical="center" shrinkToFit="1"/>
    </xf>
    <xf numFmtId="0" fontId="9" fillId="2" borderId="119" xfId="0" applyFont="1" applyFill="1" applyBorder="1" applyAlignment="1">
      <alignment horizontal="center" vertical="center"/>
    </xf>
    <xf numFmtId="0" fontId="9" fillId="2" borderId="118" xfId="0" applyFont="1" applyFill="1" applyBorder="1" applyAlignment="1">
      <alignment horizontal="center" vertical="center"/>
    </xf>
    <xf numFmtId="180" fontId="59" fillId="2" borderId="119" xfId="0" applyNumberFormat="1" applyFont="1" applyFill="1" applyBorder="1">
      <alignment vertical="center"/>
    </xf>
    <xf numFmtId="0" fontId="9" fillId="47" borderId="122" xfId="0" applyFont="1" applyFill="1" applyBorder="1" applyAlignment="1">
      <alignment horizontal="center" vertical="center"/>
    </xf>
    <xf numFmtId="0" fontId="9" fillId="47" borderId="124" xfId="0" applyFont="1" applyFill="1" applyBorder="1" applyAlignment="1">
      <alignment horizontal="center" vertical="center"/>
    </xf>
    <xf numFmtId="0" fontId="9" fillId="0" borderId="122" xfId="0" applyFont="1" applyBorder="1" applyAlignment="1">
      <alignment horizontal="center" vertical="center"/>
    </xf>
    <xf numFmtId="0" fontId="9" fillId="0" borderId="123" xfId="0" applyFont="1" applyBorder="1" applyAlignment="1">
      <alignment horizontal="center" vertical="center"/>
    </xf>
    <xf numFmtId="180" fontId="59" fillId="47" borderId="122" xfId="0" applyNumberFormat="1" applyFont="1" applyFill="1" applyBorder="1">
      <alignment vertical="center"/>
    </xf>
    <xf numFmtId="180" fontId="59" fillId="47" borderId="124" xfId="0" applyNumberFormat="1" applyFont="1" applyFill="1" applyBorder="1">
      <alignment vertical="center"/>
    </xf>
    <xf numFmtId="180" fontId="9" fillId="0" borderId="125" xfId="0" applyNumberFormat="1" applyFont="1" applyBorder="1" applyAlignment="1">
      <alignment vertical="center" shrinkToFit="1"/>
    </xf>
    <xf numFmtId="0" fontId="9" fillId="0" borderId="125" xfId="0" applyFont="1" applyBorder="1" applyAlignment="1">
      <alignment vertical="center" shrinkToFit="1"/>
    </xf>
    <xf numFmtId="181" fontId="11" fillId="8" borderId="33" xfId="0" applyNumberFormat="1" applyFont="1" applyFill="1" applyBorder="1" applyAlignment="1" applyProtection="1">
      <alignment horizontal="center" vertical="center"/>
      <protection locked="0"/>
    </xf>
    <xf numFmtId="181" fontId="11" fillId="8" borderId="34" xfId="0" applyNumberFormat="1" applyFont="1" applyFill="1" applyBorder="1" applyAlignment="1" applyProtection="1">
      <alignment horizontal="center" vertical="center"/>
      <protection locked="0"/>
    </xf>
    <xf numFmtId="0" fontId="9" fillId="48" borderId="153" xfId="0" applyFont="1" applyFill="1" applyBorder="1" applyAlignment="1">
      <alignment horizontal="center" vertical="center"/>
    </xf>
    <xf numFmtId="180" fontId="59" fillId="48" borderId="118" xfId="0" applyNumberFormat="1" applyFont="1" applyFill="1" applyBorder="1">
      <alignment vertical="center"/>
    </xf>
    <xf numFmtId="180" fontId="59" fillId="49" borderId="122" xfId="0" applyNumberFormat="1" applyFont="1" applyFill="1" applyBorder="1">
      <alignment vertical="center"/>
    </xf>
    <xf numFmtId="180" fontId="59" fillId="49" borderId="124" xfId="0" applyNumberFormat="1" applyFont="1" applyFill="1" applyBorder="1">
      <alignment vertical="center"/>
    </xf>
    <xf numFmtId="0" fontId="9" fillId="49" borderId="118" xfId="0" applyFont="1" applyFill="1" applyBorder="1" applyAlignment="1">
      <alignment horizontal="center" vertical="center"/>
    </xf>
    <xf numFmtId="0" fontId="9" fillId="49" borderId="152" xfId="0" applyFont="1" applyFill="1" applyBorder="1" applyAlignment="1">
      <alignment horizontal="center" vertical="center"/>
    </xf>
    <xf numFmtId="180" fontId="59" fillId="49" borderId="154" xfId="0" applyNumberFormat="1" applyFont="1" applyFill="1" applyBorder="1">
      <alignment vertical="center"/>
    </xf>
    <xf numFmtId="180" fontId="59" fillId="49" borderId="155" xfId="0" applyNumberFormat="1" applyFont="1" applyFill="1" applyBorder="1">
      <alignment vertical="center"/>
    </xf>
    <xf numFmtId="180" fontId="59" fillId="0" borderId="123" xfId="0" applyNumberFormat="1" applyFont="1" applyBorder="1" applyAlignment="1">
      <alignment horizontal="center" vertical="center"/>
    </xf>
    <xf numFmtId="196" fontId="11" fillId="8" borderId="33" xfId="0" applyNumberFormat="1" applyFont="1" applyFill="1" applyBorder="1" applyAlignment="1" applyProtection="1">
      <alignment horizontal="center" vertical="center"/>
      <protection locked="0"/>
    </xf>
    <xf numFmtId="196" fontId="11" fillId="8" borderId="34" xfId="0" applyNumberFormat="1" applyFont="1" applyFill="1" applyBorder="1" applyAlignment="1" applyProtection="1">
      <alignment horizontal="center" vertical="center"/>
      <protection locked="0"/>
    </xf>
    <xf numFmtId="0" fontId="37" fillId="9" borderId="198" xfId="0" applyFont="1" applyFill="1" applyBorder="1" applyAlignment="1">
      <alignment horizontal="center" vertical="center" wrapText="1"/>
    </xf>
    <xf numFmtId="0" fontId="37" fillId="9" borderId="199" xfId="0" applyFont="1" applyFill="1" applyBorder="1" applyAlignment="1">
      <alignment horizontal="center" vertical="center" wrapText="1"/>
    </xf>
    <xf numFmtId="0" fontId="37" fillId="9" borderId="159" xfId="0" applyFont="1" applyFill="1" applyBorder="1" applyAlignment="1">
      <alignment horizontal="center" vertical="center" wrapText="1"/>
    </xf>
    <xf numFmtId="0" fontId="37" fillId="9" borderId="249" xfId="0" applyFont="1" applyFill="1" applyBorder="1" applyAlignment="1">
      <alignment horizontal="center" vertical="center" wrapText="1"/>
    </xf>
    <xf numFmtId="0" fontId="37" fillId="9" borderId="204" xfId="0" applyFont="1" applyFill="1" applyBorder="1" applyAlignment="1">
      <alignment horizontal="center" vertical="center" wrapText="1"/>
    </xf>
    <xf numFmtId="0" fontId="37" fillId="9" borderId="206" xfId="0" applyFont="1" applyFill="1" applyBorder="1" applyAlignment="1">
      <alignment horizontal="center" vertical="center" wrapText="1"/>
    </xf>
    <xf numFmtId="0" fontId="9" fillId="2" borderId="246" xfId="0" applyFont="1" applyFill="1" applyBorder="1" applyAlignment="1">
      <alignment horizontal="center" vertical="center"/>
    </xf>
    <xf numFmtId="0" fontId="9" fillId="2" borderId="262" xfId="0" applyFont="1" applyFill="1" applyBorder="1" applyAlignment="1">
      <alignment horizontal="center" vertical="center"/>
    </xf>
    <xf numFmtId="0" fontId="9" fillId="2" borderId="133" xfId="0" applyFont="1" applyFill="1" applyBorder="1" applyAlignment="1">
      <alignment horizontal="center" vertical="center"/>
    </xf>
    <xf numFmtId="0" fontId="9" fillId="2" borderId="32" xfId="0" applyFont="1" applyFill="1" applyBorder="1" applyAlignment="1">
      <alignment horizontal="center" vertical="center"/>
    </xf>
    <xf numFmtId="0" fontId="37" fillId="9" borderId="204" xfId="0" applyFont="1" applyFill="1" applyBorder="1" applyAlignment="1">
      <alignment horizontal="center" vertical="center"/>
    </xf>
    <xf numFmtId="0" fontId="37" fillId="9" borderId="205" xfId="0" applyFont="1" applyFill="1" applyBorder="1" applyAlignment="1">
      <alignment horizontal="center" vertical="center"/>
    </xf>
    <xf numFmtId="0" fontId="37" fillId="9" borderId="206" xfId="0" applyFont="1" applyFill="1" applyBorder="1" applyAlignment="1">
      <alignment horizontal="center" vertical="center"/>
    </xf>
    <xf numFmtId="0" fontId="9" fillId="47" borderId="135" xfId="0" applyFont="1" applyFill="1" applyBorder="1" applyAlignment="1">
      <alignment horizontal="center" vertical="center"/>
    </xf>
    <xf numFmtId="0" fontId="9" fillId="47" borderId="136" xfId="0" applyFont="1" applyFill="1" applyBorder="1" applyAlignment="1">
      <alignment horizontal="center" vertical="center"/>
    </xf>
    <xf numFmtId="0" fontId="37" fillId="9" borderId="246" xfId="0" applyFont="1" applyFill="1" applyBorder="1" applyAlignment="1">
      <alignment horizontal="center" vertical="center"/>
    </xf>
    <xf numFmtId="0" fontId="37" fillId="9" borderId="247" xfId="0" applyFont="1" applyFill="1" applyBorder="1" applyAlignment="1">
      <alignment horizontal="center" vertical="center"/>
    </xf>
    <xf numFmtId="0" fontId="37" fillId="9" borderId="248" xfId="0" applyFont="1" applyFill="1" applyBorder="1" applyAlignment="1">
      <alignment horizontal="center" vertical="center"/>
    </xf>
    <xf numFmtId="0" fontId="12" fillId="0" borderId="200" xfId="0" applyFont="1" applyBorder="1" applyAlignment="1">
      <alignment horizontal="center" vertical="center"/>
    </xf>
    <xf numFmtId="0" fontId="84" fillId="49" borderId="159" xfId="0" applyFont="1" applyFill="1" applyBorder="1" applyAlignment="1">
      <alignment horizontal="center" vertical="center" wrapText="1"/>
    </xf>
    <xf numFmtId="0" fontId="84" fillId="49" borderId="0" xfId="0" applyFont="1" applyFill="1" applyAlignment="1">
      <alignment horizontal="center" vertical="center" wrapText="1"/>
    </xf>
    <xf numFmtId="0" fontId="86" fillId="7" borderId="264" xfId="0" applyFont="1" applyFill="1" applyBorder="1" applyAlignment="1">
      <alignment horizontal="left" vertical="center"/>
    </xf>
    <xf numFmtId="0" fontId="86" fillId="7" borderId="265" xfId="0" applyFont="1" applyFill="1" applyBorder="1" applyAlignment="1">
      <alignment horizontal="left" vertical="center"/>
    </xf>
    <xf numFmtId="0" fontId="11" fillId="54" borderId="33" xfId="0" applyFont="1" applyFill="1" applyBorder="1" applyAlignment="1" applyProtection="1">
      <alignment horizontal="center" vertical="center"/>
      <protection locked="0"/>
    </xf>
    <xf numFmtId="0" fontId="11" fillId="54" borderId="34" xfId="0" applyFont="1" applyFill="1" applyBorder="1" applyAlignment="1" applyProtection="1">
      <alignment horizontal="center" vertical="center"/>
      <protection locked="0"/>
    </xf>
    <xf numFmtId="0" fontId="12" fillId="0" borderId="142" xfId="0" applyFont="1" applyBorder="1" applyAlignment="1">
      <alignment horizontal="left" vertical="top" wrapText="1"/>
    </xf>
    <xf numFmtId="193" fontId="85" fillId="2" borderId="205" xfId="0" applyNumberFormat="1" applyFont="1" applyFill="1" applyBorder="1">
      <alignment vertical="center"/>
    </xf>
    <xf numFmtId="180" fontId="11" fillId="2" borderId="205" xfId="0" applyNumberFormat="1" applyFont="1" applyFill="1" applyBorder="1">
      <alignment vertical="center"/>
    </xf>
    <xf numFmtId="0" fontId="9" fillId="2" borderId="137" xfId="0" applyFont="1" applyFill="1" applyBorder="1" applyAlignment="1">
      <alignment horizontal="center" vertical="center"/>
    </xf>
    <xf numFmtId="9" fontId="52" fillId="49" borderId="204" xfId="0" applyNumberFormat="1" applyFont="1" applyFill="1" applyBorder="1" applyAlignment="1">
      <alignment horizontal="left" vertical="center" wrapText="1"/>
    </xf>
    <xf numFmtId="0" fontId="52" fillId="49" borderId="205" xfId="0" applyFont="1" applyFill="1" applyBorder="1" applyAlignment="1">
      <alignment horizontal="left" vertical="center" wrapText="1"/>
    </xf>
    <xf numFmtId="0" fontId="52" fillId="49" borderId="206" xfId="0" applyFont="1" applyFill="1" applyBorder="1" applyAlignment="1">
      <alignment horizontal="left" vertical="center" wrapText="1"/>
    </xf>
    <xf numFmtId="9" fontId="52" fillId="48" borderId="204" xfId="0" applyNumberFormat="1" applyFont="1" applyFill="1" applyBorder="1" applyAlignment="1">
      <alignment horizontal="left" vertical="center" wrapText="1"/>
    </xf>
    <xf numFmtId="0" fontId="52" fillId="48" borderId="205" xfId="0" applyFont="1" applyFill="1" applyBorder="1" applyAlignment="1">
      <alignment horizontal="left" vertical="center" wrapText="1"/>
    </xf>
    <xf numFmtId="0" fontId="52" fillId="48" borderId="206" xfId="0" applyFont="1" applyFill="1" applyBorder="1" applyAlignment="1">
      <alignment horizontal="left" vertical="center" wrapText="1"/>
    </xf>
    <xf numFmtId="0" fontId="38" fillId="7" borderId="263" xfId="0" applyFont="1" applyFill="1" applyBorder="1" applyAlignment="1">
      <alignment horizontal="left" vertical="center"/>
    </xf>
    <xf numFmtId="0" fontId="38" fillId="7" borderId="264" xfId="0" applyFont="1" applyFill="1" applyBorder="1" applyAlignment="1">
      <alignment horizontal="left" vertical="center"/>
    </xf>
    <xf numFmtId="9" fontId="52" fillId="2" borderId="198" xfId="0" applyNumberFormat="1" applyFont="1" applyFill="1" applyBorder="1" applyAlignment="1">
      <alignment horizontal="left" vertical="center" wrapText="1"/>
    </xf>
    <xf numFmtId="0" fontId="52" fillId="2" borderId="199" xfId="0" applyFont="1" applyFill="1" applyBorder="1" applyAlignment="1">
      <alignment horizontal="left" vertical="center" wrapText="1"/>
    </xf>
    <xf numFmtId="0" fontId="52" fillId="2" borderId="133" xfId="0" applyFont="1" applyFill="1" applyBorder="1" applyAlignment="1">
      <alignment horizontal="left" vertical="center" wrapText="1"/>
    </xf>
    <xf numFmtId="0" fontId="52" fillId="2" borderId="137" xfId="0" applyFont="1" applyFill="1" applyBorder="1" applyAlignment="1">
      <alignment horizontal="left" vertical="center" wrapText="1"/>
    </xf>
    <xf numFmtId="0" fontId="52" fillId="2" borderId="134" xfId="0" applyFont="1" applyFill="1" applyBorder="1" applyAlignment="1">
      <alignment horizontal="left" vertical="center" wrapText="1"/>
    </xf>
    <xf numFmtId="0" fontId="60" fillId="0" borderId="0" xfId="0" applyFont="1" applyAlignment="1">
      <alignment horizontal="center" vertical="center" textRotation="255"/>
    </xf>
    <xf numFmtId="0" fontId="9" fillId="47" borderId="204" xfId="0" applyFont="1" applyFill="1" applyBorder="1" applyAlignment="1">
      <alignment horizontal="center" vertical="center"/>
    </xf>
    <xf numFmtId="0" fontId="9" fillId="47" borderId="205" xfId="0" applyFont="1" applyFill="1" applyBorder="1" applyAlignment="1">
      <alignment horizontal="center" vertical="center"/>
    </xf>
    <xf numFmtId="0" fontId="45" fillId="34" borderId="204" xfId="0" applyFont="1" applyFill="1" applyBorder="1" applyAlignment="1">
      <alignment horizontal="center" vertical="center"/>
    </xf>
    <xf numFmtId="0" fontId="45" fillId="34" borderId="205" xfId="0" applyFont="1" applyFill="1" applyBorder="1" applyAlignment="1">
      <alignment horizontal="center" vertical="center"/>
    </xf>
    <xf numFmtId="0" fontId="45" fillId="34" borderId="206" xfId="0" applyFont="1" applyFill="1" applyBorder="1" applyAlignment="1">
      <alignment horizontal="center" vertical="center"/>
    </xf>
    <xf numFmtId="0" fontId="45" fillId="30" borderId="122" xfId="0" applyFont="1" applyFill="1" applyBorder="1" applyAlignment="1">
      <alignment horizontal="center" vertical="center"/>
    </xf>
    <xf numFmtId="0" fontId="45" fillId="30" borderId="124" xfId="0" applyFont="1" applyFill="1" applyBorder="1" applyAlignment="1">
      <alignment horizontal="center" vertical="center"/>
    </xf>
    <xf numFmtId="0" fontId="45" fillId="30" borderId="154" xfId="0" applyFont="1" applyFill="1" applyBorder="1" applyAlignment="1">
      <alignment horizontal="center" vertical="center"/>
    </xf>
    <xf numFmtId="0" fontId="45" fillId="30" borderId="155" xfId="0" applyFont="1" applyFill="1" applyBorder="1" applyAlignment="1">
      <alignment horizontal="center" vertical="center"/>
    </xf>
    <xf numFmtId="0" fontId="69" fillId="33" borderId="122" xfId="0" applyFont="1" applyFill="1" applyBorder="1" applyAlignment="1">
      <alignment horizontal="left" vertical="center"/>
    </xf>
    <xf numFmtId="0" fontId="69" fillId="33" borderId="124" xfId="0" applyFont="1" applyFill="1" applyBorder="1" applyAlignment="1">
      <alignment horizontal="left" vertical="center"/>
    </xf>
    <xf numFmtId="10" fontId="69" fillId="33" borderId="122" xfId="0" applyNumberFormat="1" applyFont="1" applyFill="1" applyBorder="1" applyAlignment="1">
      <alignment horizontal="right" vertical="center"/>
    </xf>
    <xf numFmtId="10" fontId="69" fillId="33" borderId="124" xfId="0" applyNumberFormat="1" applyFont="1" applyFill="1" applyBorder="1" applyAlignment="1">
      <alignment horizontal="right" vertical="center"/>
    </xf>
    <xf numFmtId="0" fontId="45" fillId="34" borderId="126" xfId="0" applyFont="1" applyFill="1" applyBorder="1" applyAlignment="1">
      <alignment horizontal="center" vertical="center"/>
    </xf>
    <xf numFmtId="0" fontId="45" fillId="34" borderId="127" xfId="0" applyFont="1" applyFill="1" applyBorder="1" applyAlignment="1">
      <alignment horizontal="center" vertical="center"/>
    </xf>
    <xf numFmtId="0" fontId="45" fillId="34" borderId="151" xfId="0" applyFont="1" applyFill="1" applyBorder="1" applyAlignment="1">
      <alignment horizontal="center" vertical="center"/>
    </xf>
    <xf numFmtId="0" fontId="45" fillId="34" borderId="143" xfId="0" applyFont="1" applyFill="1" applyBorder="1" applyAlignment="1">
      <alignment horizontal="center" vertical="center"/>
    </xf>
    <xf numFmtId="0" fontId="45" fillId="9" borderId="126" xfId="0" applyFont="1" applyFill="1" applyBorder="1" applyAlignment="1">
      <alignment horizontal="center" vertical="center"/>
    </xf>
    <xf numFmtId="0" fontId="45" fillId="9" borderId="127" xfId="0" applyFont="1" applyFill="1" applyBorder="1" applyAlignment="1">
      <alignment horizontal="center" vertical="center"/>
    </xf>
    <xf numFmtId="0" fontId="69" fillId="52" borderId="122" xfId="0" applyFont="1" applyFill="1" applyBorder="1" applyAlignment="1">
      <alignment horizontal="left" vertical="center"/>
    </xf>
    <xf numFmtId="0" fontId="69" fillId="52" borderId="124" xfId="0" applyFont="1" applyFill="1" applyBorder="1" applyAlignment="1">
      <alignment horizontal="left" vertical="center"/>
    </xf>
    <xf numFmtId="197" fontId="37" fillId="59" borderId="204" xfId="0" applyNumberFormat="1" applyFont="1" applyFill="1" applyBorder="1" applyAlignment="1">
      <alignment horizontal="center" vertical="center"/>
    </xf>
    <xf numFmtId="197" fontId="37" fillId="59" borderId="205" xfId="0" applyNumberFormat="1" applyFont="1" applyFill="1" applyBorder="1" applyAlignment="1">
      <alignment horizontal="center" vertical="center"/>
    </xf>
    <xf numFmtId="0" fontId="52" fillId="2" borderId="205" xfId="0" applyFont="1" applyFill="1" applyBorder="1" applyAlignment="1">
      <alignment horizontal="left" vertical="center" shrinkToFit="1"/>
    </xf>
    <xf numFmtId="0" fontId="52" fillId="2" borderId="206" xfId="0" applyFont="1" applyFill="1" applyBorder="1" applyAlignment="1">
      <alignment horizontal="left" vertical="center" shrinkToFit="1"/>
    </xf>
    <xf numFmtId="0" fontId="38" fillId="7" borderId="0" xfId="0" applyFont="1" applyFill="1" applyAlignment="1">
      <alignment horizontal="left" vertical="center"/>
    </xf>
    <xf numFmtId="0" fontId="52" fillId="2" borderId="205" xfId="0" applyFont="1" applyFill="1" applyBorder="1" applyAlignment="1">
      <alignment vertical="center" shrinkToFit="1"/>
    </xf>
    <xf numFmtId="0" fontId="52" fillId="2" borderId="206" xfId="0" applyFont="1" applyFill="1" applyBorder="1" applyAlignment="1">
      <alignment vertical="center" shrinkToFit="1"/>
    </xf>
    <xf numFmtId="0" fontId="37" fillId="31" borderId="200" xfId="0" applyFont="1" applyFill="1" applyBorder="1" applyAlignment="1">
      <alignment horizontal="center" vertical="center" wrapText="1"/>
    </xf>
    <xf numFmtId="0" fontId="37" fillId="31" borderId="199" xfId="0" applyFont="1" applyFill="1" applyBorder="1" applyAlignment="1">
      <alignment horizontal="center" vertical="center"/>
    </xf>
    <xf numFmtId="0" fontId="37" fillId="31" borderId="0" xfId="0" applyFont="1" applyFill="1" applyAlignment="1">
      <alignment horizontal="center" vertical="center"/>
    </xf>
    <xf numFmtId="0" fontId="37" fillId="31" borderId="249" xfId="0" applyFont="1" applyFill="1" applyBorder="1" applyAlignment="1">
      <alignment horizontal="center" vertical="center"/>
    </xf>
    <xf numFmtId="0" fontId="37" fillId="31" borderId="137" xfId="0" applyFont="1" applyFill="1" applyBorder="1" applyAlignment="1">
      <alignment horizontal="center" vertical="center"/>
    </xf>
    <xf numFmtId="0" fontId="37" fillId="31" borderId="134" xfId="0" applyFont="1" applyFill="1" applyBorder="1" applyAlignment="1">
      <alignment horizontal="center" vertical="center"/>
    </xf>
    <xf numFmtId="0" fontId="39" fillId="7" borderId="0" xfId="0" applyFont="1" applyFill="1" applyAlignment="1">
      <alignment horizontal="center" vertical="center"/>
    </xf>
    <xf numFmtId="0" fontId="11" fillId="8" borderId="166" xfId="0" applyFont="1" applyFill="1" applyBorder="1" applyAlignment="1" applyProtection="1">
      <alignment horizontal="center" vertical="center"/>
      <protection locked="0"/>
    </xf>
    <xf numFmtId="0" fontId="11" fillId="8" borderId="64" xfId="0" applyFont="1" applyFill="1" applyBorder="1" applyAlignment="1" applyProtection="1">
      <alignment horizontal="center" vertical="center"/>
      <protection locked="0"/>
    </xf>
    <xf numFmtId="0" fontId="9" fillId="48" borderId="198" xfId="0" applyFont="1" applyFill="1" applyBorder="1" applyAlignment="1">
      <alignment horizontal="center" vertical="center"/>
    </xf>
    <xf numFmtId="0" fontId="9" fillId="48" borderId="262" xfId="0" applyFont="1" applyFill="1" applyBorder="1" applyAlignment="1">
      <alignment horizontal="center" vertical="center"/>
    </xf>
    <xf numFmtId="0" fontId="9" fillId="49" borderId="204" xfId="0" applyFont="1" applyFill="1" applyBorder="1" applyAlignment="1">
      <alignment horizontal="center" vertical="center"/>
    </xf>
    <xf numFmtId="0" fontId="9" fillId="49" borderId="205" xfId="0" applyFont="1" applyFill="1" applyBorder="1" applyAlignment="1">
      <alignment horizontal="center" vertical="center"/>
    </xf>
    <xf numFmtId="180" fontId="54" fillId="47" borderId="117" xfId="0" applyNumberFormat="1" applyFont="1" applyFill="1" applyBorder="1" applyAlignment="1">
      <alignment horizontal="center" vertical="center" wrapText="1"/>
    </xf>
    <xf numFmtId="0" fontId="13" fillId="48" borderId="163" xfId="0" applyFont="1" applyFill="1" applyBorder="1" applyAlignment="1">
      <alignment horizontal="center" wrapText="1"/>
    </xf>
    <xf numFmtId="0" fontId="13" fillId="48" borderId="22" xfId="0" applyFont="1" applyFill="1" applyBorder="1" applyAlignment="1">
      <alignment horizontal="center" wrapText="1"/>
    </xf>
    <xf numFmtId="183" fontId="46" fillId="54" borderId="33" xfId="0" applyNumberFormat="1" applyFont="1" applyFill="1" applyBorder="1" applyAlignment="1" applyProtection="1">
      <alignment horizontal="center" vertical="center"/>
      <protection locked="0"/>
    </xf>
    <xf numFmtId="183" fontId="46" fillId="54" borderId="34" xfId="0" applyNumberFormat="1" applyFont="1" applyFill="1" applyBorder="1" applyAlignment="1" applyProtection="1">
      <alignment horizontal="center" vertical="center"/>
      <protection locked="0"/>
    </xf>
    <xf numFmtId="0" fontId="9" fillId="49" borderId="207" xfId="0" applyFont="1" applyFill="1" applyBorder="1" applyAlignment="1">
      <alignment horizontal="center" vertical="center"/>
    </xf>
    <xf numFmtId="180" fontId="11" fillId="51" borderId="150" xfId="0" applyNumberFormat="1" applyFont="1" applyFill="1" applyBorder="1" applyAlignment="1">
      <alignment horizontal="center" vertical="center"/>
    </xf>
    <xf numFmtId="0" fontId="52" fillId="47" borderId="137" xfId="0" applyFont="1" applyFill="1" applyBorder="1" applyAlignment="1">
      <alignment horizontal="center" vertical="center" wrapText="1"/>
    </xf>
    <xf numFmtId="0" fontId="52" fillId="47" borderId="212" xfId="0" applyFont="1" applyFill="1" applyBorder="1" applyAlignment="1">
      <alignment horizontal="center" vertical="center" wrapText="1"/>
    </xf>
    <xf numFmtId="0" fontId="52" fillId="47" borderId="213" xfId="0" applyFont="1" applyFill="1" applyBorder="1" applyAlignment="1">
      <alignment horizontal="center" vertical="center" wrapText="1"/>
    </xf>
    <xf numFmtId="181" fontId="11" fillId="52" borderId="150" xfId="0" applyNumberFormat="1" applyFont="1" applyFill="1" applyBorder="1" applyAlignment="1">
      <alignment horizontal="center" vertical="center"/>
    </xf>
    <xf numFmtId="0" fontId="13" fillId="49" borderId="211" xfId="0" applyFont="1" applyFill="1" applyBorder="1" applyAlignment="1">
      <alignment horizontal="center"/>
    </xf>
    <xf numFmtId="0" fontId="13" fillId="47" borderId="211" xfId="0" applyFont="1" applyFill="1" applyBorder="1" applyAlignment="1">
      <alignment horizontal="center" wrapText="1"/>
    </xf>
    <xf numFmtId="181" fontId="11" fillId="53" borderId="137" xfId="0" applyNumberFormat="1" applyFont="1" applyFill="1" applyBorder="1" applyAlignment="1">
      <alignment horizontal="center" vertical="center"/>
    </xf>
    <xf numFmtId="0" fontId="9" fillId="48" borderId="133" xfId="0" applyFont="1" applyFill="1" applyBorder="1" applyAlignment="1">
      <alignment horizontal="right" vertical="center"/>
    </xf>
    <xf numFmtId="0" fontId="9" fillId="48" borderId="137" xfId="0" applyFont="1" applyFill="1" applyBorder="1" applyAlignment="1">
      <alignment horizontal="right" vertical="center"/>
    </xf>
    <xf numFmtId="0" fontId="46" fillId="48" borderId="205" xfId="0" applyFont="1" applyFill="1" applyBorder="1" applyAlignment="1" applyProtection="1">
      <alignment horizontal="center" vertical="center" wrapText="1"/>
      <protection locked="0"/>
    </xf>
    <xf numFmtId="0" fontId="47" fillId="0" borderId="0" xfId="0" applyFont="1" applyAlignment="1">
      <alignment horizontal="center" vertical="top" wrapText="1"/>
    </xf>
    <xf numFmtId="179" fontId="12" fillId="4" borderId="120" xfId="0" applyNumberFormat="1" applyFont="1" applyFill="1" applyBorder="1" applyAlignment="1">
      <alignment horizontal="center" vertical="center"/>
    </xf>
    <xf numFmtId="179" fontId="12" fillId="4" borderId="129" xfId="0" applyNumberFormat="1" applyFont="1" applyFill="1" applyBorder="1" applyAlignment="1">
      <alignment horizontal="center" vertical="center"/>
    </xf>
    <xf numFmtId="179" fontId="12" fillId="4" borderId="124" xfId="0" applyNumberFormat="1" applyFont="1" applyFill="1" applyBorder="1" applyAlignment="1">
      <alignment horizontal="center" vertical="center"/>
    </xf>
    <xf numFmtId="183" fontId="23" fillId="4" borderId="257" xfId="0" applyNumberFormat="1" applyFont="1" applyFill="1" applyBorder="1">
      <alignment vertical="center"/>
    </xf>
    <xf numFmtId="0" fontId="51" fillId="0" borderId="137" xfId="0" applyFont="1" applyBorder="1" applyAlignment="1">
      <alignment horizontal="center" vertical="center"/>
    </xf>
    <xf numFmtId="0" fontId="0" fillId="5" borderId="198" xfId="0" applyFill="1" applyBorder="1" applyAlignment="1">
      <alignment horizontal="left" vertical="center"/>
    </xf>
    <xf numFmtId="0" fontId="68" fillId="5" borderId="200" xfId="0" applyFont="1" applyFill="1" applyBorder="1" applyAlignment="1">
      <alignment horizontal="left" vertical="center"/>
    </xf>
    <xf numFmtId="0" fontId="68" fillId="5" borderId="199" xfId="0" applyFont="1" applyFill="1" applyBorder="1" applyAlignment="1">
      <alignment horizontal="left" vertical="center"/>
    </xf>
    <xf numFmtId="180" fontId="11" fillId="8" borderId="166" xfId="0" applyNumberFormat="1" applyFont="1" applyFill="1" applyBorder="1" applyAlignment="1" applyProtection="1">
      <alignment horizontal="center" vertical="center"/>
      <protection locked="0"/>
    </xf>
    <xf numFmtId="180" fontId="11" fillId="8" borderId="64" xfId="0" applyNumberFormat="1" applyFont="1" applyFill="1" applyBorder="1" applyAlignment="1" applyProtection="1">
      <alignment horizontal="center" vertical="center"/>
      <protection locked="0"/>
    </xf>
    <xf numFmtId="180" fontId="11" fillId="8" borderId="21" xfId="0" applyNumberFormat="1" applyFont="1" applyFill="1" applyBorder="1" applyAlignment="1" applyProtection="1">
      <alignment horizontal="center" vertical="center"/>
      <protection locked="0"/>
    </xf>
    <xf numFmtId="180" fontId="11" fillId="8" borderId="23" xfId="0" applyNumberFormat="1" applyFont="1" applyFill="1" applyBorder="1" applyAlignment="1" applyProtection="1">
      <alignment horizontal="center" vertical="center"/>
      <protection locked="0"/>
    </xf>
    <xf numFmtId="0" fontId="9" fillId="2" borderId="247" xfId="0" applyFont="1" applyFill="1" applyBorder="1" applyAlignment="1">
      <alignment horizontal="center" vertical="center"/>
    </xf>
    <xf numFmtId="0" fontId="9" fillId="2" borderId="248" xfId="0" applyFont="1" applyFill="1" applyBorder="1" applyAlignment="1">
      <alignment horizontal="center" vertical="center"/>
    </xf>
    <xf numFmtId="0" fontId="9" fillId="2" borderId="134" xfId="0" applyFont="1" applyFill="1" applyBorder="1" applyAlignment="1">
      <alignment horizontal="center" vertical="center"/>
    </xf>
    <xf numFmtId="180" fontId="11" fillId="8" borderId="33" xfId="0" applyNumberFormat="1" applyFont="1" applyFill="1" applyBorder="1" applyAlignment="1" applyProtection="1">
      <alignment horizontal="center" vertical="center"/>
      <protection locked="0"/>
    </xf>
    <xf numFmtId="180" fontId="11" fillId="8" borderId="34" xfId="0" applyNumberFormat="1" applyFont="1" applyFill="1" applyBorder="1" applyAlignment="1" applyProtection="1">
      <alignment horizontal="center" vertical="center"/>
      <protection locked="0"/>
    </xf>
    <xf numFmtId="0" fontId="0" fillId="0" borderId="252" xfId="0" applyBorder="1" applyAlignment="1">
      <alignment vertical="center" wrapText="1"/>
    </xf>
    <xf numFmtId="0" fontId="0" fillId="0" borderId="201" xfId="0" applyBorder="1">
      <alignment vertical="center"/>
    </xf>
    <xf numFmtId="0" fontId="0" fillId="0" borderId="202" xfId="0" applyBorder="1">
      <alignment vertical="center"/>
    </xf>
    <xf numFmtId="0" fontId="7" fillId="13" borderId="252" xfId="0" applyFont="1" applyFill="1" applyBorder="1">
      <alignment vertical="center"/>
    </xf>
    <xf numFmtId="0" fontId="7" fillId="13" borderId="201" xfId="0" applyFont="1" applyFill="1" applyBorder="1">
      <alignment vertical="center"/>
    </xf>
    <xf numFmtId="0" fontId="9" fillId="2" borderId="133" xfId="0" applyFont="1" applyFill="1" applyBorder="1" applyAlignment="1">
      <alignment horizontal="center" vertical="center" shrinkToFit="1"/>
    </xf>
    <xf numFmtId="0" fontId="9" fillId="2" borderId="137" xfId="0" applyFont="1" applyFill="1" applyBorder="1" applyAlignment="1">
      <alignment horizontal="center" vertical="center" shrinkToFit="1"/>
    </xf>
    <xf numFmtId="0" fontId="9" fillId="2" borderId="134" xfId="0" applyFont="1" applyFill="1" applyBorder="1" applyAlignment="1">
      <alignment horizontal="center" vertical="center" shrinkToFit="1"/>
    </xf>
    <xf numFmtId="0" fontId="60" fillId="0" borderId="234" xfId="0" applyFont="1" applyBorder="1" applyAlignment="1">
      <alignment vertical="top" wrapText="1"/>
    </xf>
    <xf numFmtId="0" fontId="9" fillId="2" borderId="0" xfId="0" applyFont="1" applyFill="1" applyAlignment="1">
      <alignment horizontal="center" vertical="center"/>
    </xf>
    <xf numFmtId="0" fontId="9" fillId="2" borderId="159" xfId="0" applyFont="1" applyFill="1" applyBorder="1" applyAlignment="1">
      <alignment horizontal="center" vertical="center"/>
    </xf>
    <xf numFmtId="0" fontId="9" fillId="2" borderId="251" xfId="0" applyFont="1" applyFill="1" applyBorder="1" applyAlignment="1">
      <alignment horizontal="center" vertical="center"/>
    </xf>
    <xf numFmtId="0" fontId="9" fillId="2" borderId="146" xfId="0" applyFont="1" applyFill="1" applyBorder="1" applyAlignment="1">
      <alignment horizontal="center" vertical="center"/>
    </xf>
    <xf numFmtId="0" fontId="11" fillId="8" borderId="33" xfId="0" applyFont="1" applyFill="1" applyBorder="1" applyAlignment="1" applyProtection="1">
      <alignment horizontal="center" vertical="center"/>
      <protection locked="0"/>
    </xf>
    <xf numFmtId="0" fontId="11" fillId="8" borderId="34" xfId="0" applyFont="1" applyFill="1" applyBorder="1" applyAlignment="1" applyProtection="1">
      <alignment horizontal="center" vertical="center"/>
      <protection locked="0"/>
    </xf>
    <xf numFmtId="0" fontId="0" fillId="13" borderId="252" xfId="0" applyFill="1" applyBorder="1" applyAlignment="1">
      <alignment vertical="center" wrapText="1"/>
    </xf>
    <xf numFmtId="0" fontId="0" fillId="13" borderId="202" xfId="0" applyFill="1" applyBorder="1" applyAlignment="1">
      <alignment vertical="center" wrapText="1"/>
    </xf>
    <xf numFmtId="0" fontId="0" fillId="13" borderId="252" xfId="0" applyFill="1" applyBorder="1" applyAlignment="1">
      <alignment horizontal="center" vertical="center"/>
    </xf>
    <xf numFmtId="0" fontId="0" fillId="13" borderId="201" xfId="0" applyFill="1" applyBorder="1" applyAlignment="1">
      <alignment horizontal="center" vertical="center"/>
    </xf>
    <xf numFmtId="0" fontId="0" fillId="13" borderId="202" xfId="0" applyFill="1" applyBorder="1" applyAlignment="1">
      <alignment horizontal="center" vertical="center"/>
    </xf>
    <xf numFmtId="0" fontId="0" fillId="13" borderId="252" xfId="0" applyFill="1" applyBorder="1">
      <alignment vertical="center"/>
    </xf>
    <xf numFmtId="0" fontId="0" fillId="13" borderId="202" xfId="0" applyFill="1" applyBorder="1">
      <alignment vertical="center"/>
    </xf>
    <xf numFmtId="0" fontId="9" fillId="29" borderId="201" xfId="0" applyFont="1" applyFill="1" applyBorder="1">
      <alignment vertical="center"/>
    </xf>
    <xf numFmtId="0" fontId="9" fillId="29" borderId="130" xfId="0" applyFont="1" applyFill="1" applyBorder="1">
      <alignment vertical="center"/>
    </xf>
    <xf numFmtId="0" fontId="9" fillId="29" borderId="130" xfId="0" applyFont="1" applyFill="1" applyBorder="1" applyAlignment="1">
      <alignment vertical="center" wrapText="1"/>
    </xf>
    <xf numFmtId="0" fontId="9" fillId="29" borderId="131" xfId="0" applyFont="1" applyFill="1" applyBorder="1" applyAlignment="1">
      <alignment vertical="center" wrapText="1"/>
    </xf>
    <xf numFmtId="0" fontId="37" fillId="9" borderId="246" xfId="0" applyFont="1" applyFill="1" applyBorder="1" applyAlignment="1">
      <alignment horizontal="center" vertical="center" shrinkToFit="1"/>
    </xf>
    <xf numFmtId="0" fontId="37" fillId="9" borderId="247" xfId="0" applyFont="1" applyFill="1" applyBorder="1" applyAlignment="1">
      <alignment horizontal="center" vertical="center" shrinkToFit="1"/>
    </xf>
    <xf numFmtId="0" fontId="7" fillId="13" borderId="11" xfId="0" applyFont="1" applyFill="1" applyBorder="1">
      <alignment vertical="center"/>
    </xf>
    <xf numFmtId="0" fontId="7" fillId="13" borderId="130" xfId="0" applyFont="1" applyFill="1" applyBorder="1">
      <alignment vertical="center"/>
    </xf>
    <xf numFmtId="0" fontId="9" fillId="28" borderId="89" xfId="0" applyFont="1" applyFill="1" applyBorder="1" applyAlignment="1">
      <alignment horizontal="center" vertical="center" wrapText="1"/>
    </xf>
    <xf numFmtId="0" fontId="9" fillId="28" borderId="254" xfId="0" applyFont="1" applyFill="1" applyBorder="1" applyAlignment="1">
      <alignment horizontal="center" vertical="center" wrapText="1"/>
    </xf>
    <xf numFmtId="0" fontId="9" fillId="28" borderId="11" xfId="0" applyFont="1" applyFill="1" applyBorder="1" applyAlignment="1">
      <alignment horizontal="center" vertical="center" wrapText="1"/>
    </xf>
    <xf numFmtId="0" fontId="9" fillId="28" borderId="131" xfId="0" applyFont="1" applyFill="1" applyBorder="1" applyAlignment="1">
      <alignment horizontal="center" vertical="center" wrapText="1"/>
    </xf>
    <xf numFmtId="0" fontId="9" fillId="29" borderId="234" xfId="0" applyFont="1" applyFill="1" applyBorder="1" applyAlignment="1">
      <alignment vertical="center" wrapText="1"/>
    </xf>
    <xf numFmtId="0" fontId="9" fillId="29" borderId="233" xfId="0" applyFont="1" applyFill="1" applyBorder="1" applyAlignment="1">
      <alignment vertical="center" wrapText="1"/>
    </xf>
    <xf numFmtId="0" fontId="32" fillId="29" borderId="201" xfId="0" applyFont="1" applyFill="1" applyBorder="1">
      <alignment vertical="center"/>
    </xf>
    <xf numFmtId="0" fontId="32" fillId="29" borderId="202" xfId="0" applyFont="1" applyFill="1" applyBorder="1">
      <alignment vertical="center"/>
    </xf>
    <xf numFmtId="0" fontId="28" fillId="62" borderId="203" xfId="0" applyFont="1" applyFill="1" applyBorder="1" applyAlignment="1" applyProtection="1">
      <alignment horizontal="center" vertical="center"/>
      <protection locked="0"/>
    </xf>
    <xf numFmtId="0" fontId="28" fillId="62" borderId="234" xfId="0" applyFont="1" applyFill="1" applyBorder="1" applyAlignment="1" applyProtection="1">
      <alignment horizontal="center" vertical="center"/>
      <protection locked="0"/>
    </xf>
    <xf numFmtId="0" fontId="28" fillId="62" borderId="233" xfId="0" applyFont="1" applyFill="1" applyBorder="1" applyAlignment="1" applyProtection="1">
      <alignment horizontal="center" vertical="center"/>
      <protection locked="0"/>
    </xf>
    <xf numFmtId="0" fontId="9" fillId="29" borderId="234" xfId="0" applyFont="1" applyFill="1" applyBorder="1">
      <alignment vertical="center"/>
    </xf>
    <xf numFmtId="0" fontId="7" fillId="28" borderId="203" xfId="0" applyFont="1" applyFill="1" applyBorder="1" applyAlignment="1">
      <alignment horizontal="center" wrapText="1"/>
    </xf>
    <xf numFmtId="0" fontId="7" fillId="28" borderId="233" xfId="0" applyFont="1" applyFill="1" applyBorder="1" applyAlignment="1">
      <alignment horizontal="center" wrapText="1"/>
    </xf>
    <xf numFmtId="0" fontId="7" fillId="28" borderId="89" xfId="0" applyFont="1" applyFill="1" applyBorder="1" applyAlignment="1">
      <alignment horizontal="center" wrapText="1"/>
    </xf>
    <xf numFmtId="0" fontId="7" fillId="28" borderId="254" xfId="0" applyFont="1" applyFill="1" applyBorder="1" applyAlignment="1">
      <alignment horizontal="center" wrapText="1"/>
    </xf>
    <xf numFmtId="0" fontId="0" fillId="0" borderId="11"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89" xfId="0" applyBorder="1" applyAlignment="1">
      <alignment horizontal="center" vertical="center"/>
    </xf>
    <xf numFmtId="0" fontId="0" fillId="0" borderId="0" xfId="0" applyAlignment="1">
      <alignment horizontal="center" vertical="center"/>
    </xf>
    <xf numFmtId="0" fontId="0" fillId="0" borderId="254" xfId="0" applyBorder="1" applyAlignment="1">
      <alignment horizontal="center" vertical="center"/>
    </xf>
    <xf numFmtId="0" fontId="45" fillId="9" borderId="133" xfId="0" applyFont="1" applyFill="1" applyBorder="1" applyAlignment="1">
      <alignment horizontal="left" vertical="center" shrinkToFit="1"/>
    </xf>
    <xf numFmtId="0" fontId="45" fillId="9" borderId="137" xfId="0" applyFont="1" applyFill="1" applyBorder="1" applyAlignment="1">
      <alignment horizontal="left" vertical="center" shrinkToFit="1"/>
    </xf>
    <xf numFmtId="0" fontId="45" fillId="9" borderId="134" xfId="0" applyFont="1" applyFill="1" applyBorder="1" applyAlignment="1">
      <alignment horizontal="left" vertical="center" shrinkToFit="1"/>
    </xf>
    <xf numFmtId="0" fontId="9" fillId="5" borderId="137" xfId="0" applyFont="1" applyFill="1" applyBorder="1" applyAlignment="1">
      <alignment horizontal="center" vertical="center" wrapText="1" shrinkToFit="1"/>
    </xf>
    <xf numFmtId="0" fontId="9" fillId="5" borderId="57" xfId="0" applyFont="1" applyFill="1" applyBorder="1" applyAlignment="1">
      <alignment horizontal="center" vertical="center" shrinkToFit="1"/>
    </xf>
    <xf numFmtId="183" fontId="12" fillId="2" borderId="133" xfId="0" applyNumberFormat="1" applyFont="1" applyFill="1" applyBorder="1" applyAlignment="1">
      <alignment horizontal="center" vertical="center"/>
    </xf>
    <xf numFmtId="183" fontId="12" fillId="2" borderId="137" xfId="0" applyNumberFormat="1" applyFont="1" applyFill="1" applyBorder="1" applyAlignment="1">
      <alignment horizontal="center" vertical="center"/>
    </xf>
    <xf numFmtId="183" fontId="12" fillId="2" borderId="53" xfId="0" applyNumberFormat="1" applyFont="1" applyFill="1" applyBorder="1" applyAlignment="1">
      <alignment horizontal="right" vertical="center"/>
    </xf>
    <xf numFmtId="183" fontId="12" fillId="2" borderId="134" xfId="0" applyNumberFormat="1" applyFont="1" applyFill="1" applyBorder="1" applyAlignment="1">
      <alignment horizontal="right" vertical="center"/>
    </xf>
    <xf numFmtId="183" fontId="12" fillId="2" borderId="57" xfId="0" applyNumberFormat="1" applyFont="1" applyFill="1" applyBorder="1" applyAlignment="1">
      <alignment horizontal="center" vertical="center"/>
    </xf>
    <xf numFmtId="183" fontId="12" fillId="48" borderId="36" xfId="0" applyNumberFormat="1" applyFont="1" applyFill="1" applyBorder="1" applyAlignment="1">
      <alignment horizontal="center" vertical="center"/>
    </xf>
    <xf numFmtId="183" fontId="12" fillId="48" borderId="37" xfId="0" applyNumberFormat="1" applyFont="1" applyFill="1" applyBorder="1" applyAlignment="1">
      <alignment horizontal="center" vertical="center"/>
    </xf>
    <xf numFmtId="0" fontId="21" fillId="10" borderId="198" xfId="0" applyFont="1" applyFill="1" applyBorder="1" applyAlignment="1">
      <alignment horizontal="center" vertical="center"/>
    </xf>
    <xf numFmtId="0" fontId="21" fillId="10" borderId="200" xfId="0" applyFont="1" applyFill="1" applyBorder="1" applyAlignment="1">
      <alignment horizontal="center" vertical="center"/>
    </xf>
    <xf numFmtId="0" fontId="21" fillId="10" borderId="267" xfId="0" applyFont="1" applyFill="1" applyBorder="1" applyAlignment="1">
      <alignment horizontal="center" vertical="center"/>
    </xf>
    <xf numFmtId="177" fontId="12" fillId="2" borderId="227" xfId="0" applyNumberFormat="1" applyFont="1" applyFill="1" applyBorder="1" applyAlignment="1">
      <alignment horizontal="center" vertical="center"/>
    </xf>
    <xf numFmtId="177" fontId="12" fillId="2" borderId="226" xfId="0" applyNumberFormat="1" applyFont="1" applyFill="1" applyBorder="1" applyAlignment="1">
      <alignment horizontal="center" vertical="center"/>
    </xf>
    <xf numFmtId="178" fontId="37" fillId="9" borderId="198" xfId="0" applyNumberFormat="1" applyFont="1" applyFill="1" applyBorder="1" applyAlignment="1">
      <alignment horizontal="left" vertical="center" wrapText="1" shrinkToFit="1"/>
    </xf>
    <xf numFmtId="178" fontId="37" fillId="9" borderId="200" xfId="0" applyNumberFormat="1" applyFont="1" applyFill="1" applyBorder="1" applyAlignment="1">
      <alignment horizontal="left" vertical="center" shrinkToFit="1"/>
    </xf>
    <xf numFmtId="178" fontId="37" fillId="9" borderId="199" xfId="0" applyNumberFormat="1" applyFont="1" applyFill="1" applyBorder="1" applyAlignment="1">
      <alignment horizontal="left" vertical="center" shrinkToFit="1"/>
    </xf>
    <xf numFmtId="0" fontId="9" fillId="5" borderId="198" xfId="0" applyFont="1" applyFill="1" applyBorder="1" applyAlignment="1">
      <alignment horizontal="center" vertical="center"/>
    </xf>
    <xf numFmtId="0" fontId="49" fillId="5" borderId="200" xfId="0" applyFont="1" applyFill="1" applyBorder="1" applyAlignment="1">
      <alignment horizontal="center" vertical="center"/>
    </xf>
    <xf numFmtId="0" fontId="49" fillId="5" borderId="133" xfId="0" applyFont="1" applyFill="1" applyBorder="1" applyAlignment="1">
      <alignment horizontal="center" vertical="center"/>
    </xf>
    <xf numFmtId="0" fontId="49" fillId="5" borderId="137" xfId="0" applyFont="1" applyFill="1" applyBorder="1" applyAlignment="1">
      <alignment horizontal="center" vertical="center"/>
    </xf>
    <xf numFmtId="183" fontId="12" fillId="2" borderId="198" xfId="0" applyNumberFormat="1" applyFont="1" applyFill="1" applyBorder="1" applyAlignment="1">
      <alignment horizontal="center" vertical="center"/>
    </xf>
    <xf numFmtId="183" fontId="12" fillId="2" borderId="200" xfId="0" applyNumberFormat="1" applyFont="1" applyFill="1" applyBorder="1" applyAlignment="1">
      <alignment horizontal="center" vertical="center"/>
    </xf>
    <xf numFmtId="177" fontId="12" fillId="2" borderId="35" xfId="0" applyNumberFormat="1" applyFont="1" applyFill="1" applyBorder="1" applyAlignment="1">
      <alignment horizontal="right" vertical="center"/>
    </xf>
    <xf numFmtId="0" fontId="7" fillId="0" borderId="133" xfId="0" applyFont="1" applyBorder="1" applyAlignment="1">
      <alignment horizontal="right" vertical="center"/>
    </xf>
    <xf numFmtId="0" fontId="9" fillId="5" borderId="137" xfId="0" applyFont="1" applyFill="1" applyBorder="1" applyAlignment="1">
      <alignment horizontal="center" vertical="center" wrapText="1"/>
    </xf>
    <xf numFmtId="0" fontId="13" fillId="33" borderId="266" xfId="0" applyFont="1" applyFill="1" applyBorder="1" applyAlignment="1">
      <alignment horizontal="center" wrapText="1"/>
    </xf>
    <xf numFmtId="0" fontId="13" fillId="33" borderId="266" xfId="0" applyFont="1" applyFill="1" applyBorder="1" applyAlignment="1">
      <alignment horizontal="center" wrapText="1" shrinkToFit="1"/>
    </xf>
    <xf numFmtId="0" fontId="13" fillId="33" borderId="266" xfId="0" applyFont="1" applyFill="1" applyBorder="1" applyAlignment="1">
      <alignment horizontal="center" shrinkToFit="1"/>
    </xf>
    <xf numFmtId="194" fontId="12" fillId="2" borderId="159" xfId="0" applyNumberFormat="1" applyFont="1" applyFill="1" applyBorder="1" applyAlignment="1">
      <alignment horizontal="center" vertical="center"/>
    </xf>
    <xf numFmtId="194" fontId="12" fillId="2" borderId="0" xfId="0" applyNumberFormat="1" applyFont="1" applyFill="1" applyAlignment="1">
      <alignment horizontal="center" vertical="center"/>
    </xf>
    <xf numFmtId="194" fontId="12" fillId="2" borderId="42" xfId="0" applyNumberFormat="1" applyFont="1" applyFill="1" applyBorder="1" applyAlignment="1">
      <alignment horizontal="center" vertical="center"/>
    </xf>
    <xf numFmtId="0" fontId="36" fillId="0" borderId="0" xfId="0" applyFont="1" applyAlignment="1">
      <alignment horizontal="center" vertical="center"/>
    </xf>
    <xf numFmtId="0" fontId="9" fillId="2" borderId="40"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41" xfId="0" applyFont="1" applyFill="1" applyBorder="1" applyAlignment="1">
      <alignment horizontal="center" vertical="center"/>
    </xf>
    <xf numFmtId="0" fontId="38" fillId="7" borderId="243" xfId="0" applyFont="1" applyFill="1" applyBorder="1" applyAlignment="1">
      <alignment horizontal="left" vertical="center" shrinkToFit="1"/>
    </xf>
    <xf numFmtId="0" fontId="38" fillId="7" borderId="244" xfId="0" applyFont="1" applyFill="1" applyBorder="1" applyAlignment="1">
      <alignment horizontal="left" vertical="center" shrinkToFit="1"/>
    </xf>
    <xf numFmtId="0" fontId="12" fillId="8" borderId="166" xfId="0" applyFont="1" applyFill="1" applyBorder="1" applyAlignment="1">
      <alignment horizontal="center" vertical="center"/>
    </xf>
    <xf numFmtId="0" fontId="12" fillId="8" borderId="64" xfId="0" applyFont="1" applyFill="1" applyBorder="1" applyAlignment="1">
      <alignment horizontal="center" vertical="center"/>
    </xf>
    <xf numFmtId="0" fontId="12" fillId="8" borderId="21" xfId="0" applyFont="1" applyFill="1" applyBorder="1" applyAlignment="1">
      <alignment horizontal="center" vertical="center"/>
    </xf>
    <xf numFmtId="0" fontId="12" fillId="8" borderId="23" xfId="0" applyFont="1" applyFill="1" applyBorder="1" applyAlignment="1">
      <alignment horizontal="center" vertical="center"/>
    </xf>
    <xf numFmtId="0" fontId="37" fillId="9" borderId="133" xfId="0" applyFont="1" applyFill="1" applyBorder="1" applyAlignment="1">
      <alignment horizontal="center" vertical="center"/>
    </xf>
    <xf numFmtId="0" fontId="37" fillId="9" borderId="137" xfId="0" applyFont="1" applyFill="1" applyBorder="1" applyAlignment="1">
      <alignment horizontal="center" vertical="center"/>
    </xf>
    <xf numFmtId="0" fontId="37" fillId="9" borderId="134" xfId="0" applyFont="1" applyFill="1" applyBorder="1" applyAlignment="1">
      <alignment horizontal="center" vertical="center"/>
    </xf>
    <xf numFmtId="0" fontId="9" fillId="2" borderId="29" xfId="0" applyFont="1" applyFill="1" applyBorder="1" applyAlignment="1">
      <alignment horizontal="center" vertical="center"/>
    </xf>
    <xf numFmtId="0" fontId="37" fillId="0" borderId="0" xfId="0" applyFont="1" applyAlignment="1">
      <alignment horizontal="right" vertical="center"/>
    </xf>
    <xf numFmtId="0" fontId="37" fillId="0" borderId="191" xfId="0" applyFont="1" applyBorder="1" applyAlignment="1">
      <alignment horizontal="right" vertical="center"/>
    </xf>
    <xf numFmtId="180" fontId="12" fillId="2" borderId="137" xfId="0" applyNumberFormat="1" applyFont="1" applyFill="1" applyBorder="1" applyAlignment="1">
      <alignment horizontal="center" vertical="center"/>
    </xf>
    <xf numFmtId="0" fontId="37" fillId="9" borderId="159" xfId="0" applyFont="1" applyFill="1" applyBorder="1" applyAlignment="1">
      <alignment horizontal="center" vertical="center" shrinkToFit="1"/>
    </xf>
    <xf numFmtId="0" fontId="37" fillId="9" borderId="0" xfId="0" applyFont="1" applyFill="1" applyAlignment="1">
      <alignment horizontal="center" vertical="center" shrinkToFit="1"/>
    </xf>
    <xf numFmtId="177" fontId="12" fillId="2" borderId="35" xfId="0" applyNumberFormat="1" applyFont="1" applyFill="1" applyBorder="1">
      <alignment vertical="center"/>
    </xf>
    <xf numFmtId="183" fontId="12" fillId="49" borderId="204" xfId="0" applyNumberFormat="1" applyFont="1" applyFill="1" applyBorder="1" applyAlignment="1">
      <alignment horizontal="center" vertical="center"/>
    </xf>
    <xf numFmtId="183" fontId="12" fillId="49" borderId="205" xfId="0" applyNumberFormat="1" applyFont="1" applyFill="1" applyBorder="1" applyAlignment="1">
      <alignment horizontal="center" vertical="center"/>
    </xf>
    <xf numFmtId="183" fontId="12" fillId="49" borderId="220" xfId="0" applyNumberFormat="1" applyFont="1" applyFill="1" applyBorder="1" applyAlignment="1">
      <alignment horizontal="center" vertical="center"/>
    </xf>
    <xf numFmtId="0" fontId="67" fillId="6" borderId="43" xfId="0" applyFont="1" applyFill="1" applyBorder="1" applyAlignment="1">
      <alignment horizontal="left" vertical="center" wrapText="1"/>
    </xf>
    <xf numFmtId="0" fontId="67" fillId="6" borderId="44" xfId="0" applyFont="1" applyFill="1" applyBorder="1" applyAlignment="1">
      <alignment horizontal="left" vertical="center" wrapText="1"/>
    </xf>
    <xf numFmtId="0" fontId="8" fillId="0" borderId="0" xfId="0" applyFont="1" applyAlignment="1">
      <alignment horizontal="center" vertical="center"/>
    </xf>
    <xf numFmtId="0" fontId="65" fillId="0" borderId="0" xfId="0" applyFont="1" applyAlignment="1">
      <alignment horizontal="center" vertical="center"/>
    </xf>
    <xf numFmtId="176" fontId="12" fillId="48" borderId="221" xfId="0" applyNumberFormat="1" applyFont="1" applyFill="1" applyBorder="1">
      <alignment vertical="center"/>
    </xf>
    <xf numFmtId="176" fontId="12" fillId="48" borderId="205" xfId="0" applyNumberFormat="1" applyFont="1" applyFill="1" applyBorder="1">
      <alignment vertical="center"/>
    </xf>
    <xf numFmtId="183" fontId="12" fillId="48" borderId="54" xfId="0" applyNumberFormat="1" applyFont="1" applyFill="1" applyBorder="1" applyAlignment="1">
      <alignment horizontal="center" vertical="center"/>
    </xf>
    <xf numFmtId="183" fontId="12" fillId="48" borderId="55" xfId="0" applyNumberFormat="1" applyFont="1" applyFill="1" applyBorder="1" applyAlignment="1">
      <alignment horizontal="center" vertical="center"/>
    </xf>
    <xf numFmtId="183" fontId="12" fillId="48" borderId="56" xfId="0" applyNumberFormat="1" applyFont="1" applyFill="1" applyBorder="1" applyAlignment="1">
      <alignment horizontal="center" vertical="center"/>
    </xf>
    <xf numFmtId="176" fontId="23" fillId="2" borderId="221" xfId="0" applyNumberFormat="1" applyFont="1" applyFill="1" applyBorder="1">
      <alignment vertical="center"/>
    </xf>
    <xf numFmtId="176" fontId="23" fillId="2" borderId="206" xfId="0" applyNumberFormat="1" applyFont="1" applyFill="1" applyBorder="1">
      <alignment vertical="center"/>
    </xf>
    <xf numFmtId="0" fontId="37" fillId="34" borderId="204" xfId="0" applyFont="1" applyFill="1" applyBorder="1" applyAlignment="1">
      <alignment horizontal="center" vertical="center" shrinkToFit="1"/>
    </xf>
    <xf numFmtId="0" fontId="37" fillId="34" borderId="205" xfId="0" applyFont="1" applyFill="1" applyBorder="1" applyAlignment="1">
      <alignment horizontal="center" vertical="center" shrinkToFit="1"/>
    </xf>
    <xf numFmtId="0" fontId="37" fillId="34" borderId="206" xfId="0" applyFont="1" applyFill="1" applyBorder="1" applyAlignment="1">
      <alignment horizontal="center" vertical="center" shrinkToFit="1"/>
    </xf>
    <xf numFmtId="0" fontId="9" fillId="6" borderId="0" xfId="0" applyFont="1" applyFill="1" applyAlignment="1">
      <alignment horizontal="left" vertical="center" wrapText="1"/>
    </xf>
    <xf numFmtId="0" fontId="9" fillId="6" borderId="4" xfId="0" applyFont="1" applyFill="1" applyBorder="1" applyAlignment="1">
      <alignment horizontal="left" vertical="center" wrapText="1"/>
    </xf>
    <xf numFmtId="0" fontId="37" fillId="34" borderId="198" xfId="0" applyFont="1" applyFill="1" applyBorder="1" applyAlignment="1">
      <alignment horizontal="center" vertical="center" shrinkToFit="1"/>
    </xf>
    <xf numFmtId="0" fontId="37" fillId="34" borderId="200" xfId="0" applyFont="1" applyFill="1" applyBorder="1" applyAlignment="1">
      <alignment horizontal="center" vertical="center" shrinkToFit="1"/>
    </xf>
    <xf numFmtId="0" fontId="37" fillId="34" borderId="199" xfId="0" applyFont="1" applyFill="1" applyBorder="1" applyAlignment="1">
      <alignment horizontal="center" vertical="center" shrinkToFit="1"/>
    </xf>
    <xf numFmtId="183" fontId="12" fillId="48" borderId="198" xfId="0" applyNumberFormat="1" applyFont="1" applyFill="1" applyBorder="1" applyAlignment="1">
      <alignment horizontal="center" vertical="center"/>
    </xf>
    <xf numFmtId="183" fontId="12" fillId="48" borderId="200" xfId="0" applyNumberFormat="1" applyFont="1" applyFill="1" applyBorder="1" applyAlignment="1">
      <alignment horizontal="center" vertical="center"/>
    </xf>
    <xf numFmtId="0" fontId="9" fillId="5" borderId="137" xfId="0" applyFont="1" applyFill="1" applyBorder="1" applyAlignment="1">
      <alignment horizontal="center" vertical="center" shrinkToFit="1"/>
    </xf>
    <xf numFmtId="176" fontId="12" fillId="2" borderId="161" xfId="0" applyNumberFormat="1" applyFont="1" applyFill="1" applyBorder="1">
      <alignment vertical="center"/>
    </xf>
    <xf numFmtId="176" fontId="12" fillId="2" borderId="162" xfId="0" applyNumberFormat="1" applyFont="1" applyFill="1" applyBorder="1">
      <alignment vertical="center"/>
    </xf>
    <xf numFmtId="0" fontId="37" fillId="5" borderId="266" xfId="0" applyFont="1" applyFill="1" applyBorder="1" applyAlignment="1">
      <alignment horizontal="center" vertical="center" textRotation="255" shrinkToFit="1"/>
    </xf>
    <xf numFmtId="0" fontId="37" fillId="5" borderId="172" xfId="0" applyFont="1" applyFill="1" applyBorder="1" applyAlignment="1">
      <alignment horizontal="center" vertical="center" textRotation="255" shrinkToFit="1"/>
    </xf>
    <xf numFmtId="0" fontId="37" fillId="5" borderId="35" xfId="0" applyFont="1" applyFill="1" applyBorder="1" applyAlignment="1">
      <alignment horizontal="center" vertical="center" textRotation="255" shrinkToFit="1"/>
    </xf>
    <xf numFmtId="177" fontId="12" fillId="2" borderId="224" xfId="0" applyNumberFormat="1" applyFont="1" applyFill="1" applyBorder="1" applyAlignment="1" applyProtection="1">
      <alignment horizontal="right" vertical="center"/>
      <protection locked="0"/>
    </xf>
    <xf numFmtId="177" fontId="7" fillId="0" borderId="224" xfId="0" applyNumberFormat="1" applyFont="1" applyBorder="1" applyProtection="1">
      <alignment vertical="center"/>
      <protection locked="0"/>
    </xf>
    <xf numFmtId="176" fontId="12" fillId="2" borderId="227" xfId="0" applyNumberFormat="1" applyFont="1" applyFill="1" applyBorder="1">
      <alignment vertical="center"/>
    </xf>
    <xf numFmtId="176" fontId="12" fillId="2" borderId="226" xfId="0" applyNumberFormat="1" applyFont="1" applyFill="1" applyBorder="1">
      <alignment vertical="center"/>
    </xf>
    <xf numFmtId="0" fontId="7" fillId="0" borderId="0" xfId="0" applyFont="1" applyAlignment="1">
      <alignment horizontal="center" vertical="center"/>
    </xf>
    <xf numFmtId="0" fontId="7" fillId="0" borderId="137" xfId="0" applyFont="1" applyBorder="1" applyAlignment="1">
      <alignment horizontal="center" vertical="center"/>
    </xf>
    <xf numFmtId="183" fontId="12" fillId="47" borderId="198" xfId="0" applyNumberFormat="1" applyFont="1" applyFill="1" applyBorder="1" applyAlignment="1">
      <alignment horizontal="center" vertical="center"/>
    </xf>
    <xf numFmtId="183" fontId="12" fillId="47" borderId="200" xfId="0" applyNumberFormat="1" applyFont="1" applyFill="1" applyBorder="1" applyAlignment="1">
      <alignment horizontal="center" vertical="center"/>
    </xf>
    <xf numFmtId="176" fontId="12" fillId="47" borderId="221" xfId="0" applyNumberFormat="1" applyFont="1" applyFill="1" applyBorder="1">
      <alignment vertical="center"/>
    </xf>
    <xf numFmtId="176" fontId="12" fillId="47" borderId="205" xfId="0" applyNumberFormat="1" applyFont="1" applyFill="1" applyBorder="1">
      <alignment vertical="center"/>
    </xf>
    <xf numFmtId="176" fontId="12" fillId="49" borderId="221" xfId="0" applyNumberFormat="1" applyFont="1" applyFill="1" applyBorder="1">
      <alignment vertical="center"/>
    </xf>
    <xf numFmtId="176" fontId="12" fillId="49" borderId="205" xfId="0" applyNumberFormat="1" applyFont="1" applyFill="1" applyBorder="1">
      <alignment vertical="center"/>
    </xf>
    <xf numFmtId="0" fontId="37" fillId="9" borderId="249" xfId="0" applyFont="1" applyFill="1" applyBorder="1" applyAlignment="1">
      <alignment horizontal="center" vertical="center" shrinkToFit="1"/>
    </xf>
    <xf numFmtId="0" fontId="37" fillId="11" borderId="224" xfId="0" applyFont="1" applyFill="1" applyBorder="1" applyAlignment="1" applyProtection="1">
      <alignment horizontal="center" vertical="center"/>
      <protection locked="0"/>
    </xf>
    <xf numFmtId="176" fontId="12" fillId="2" borderId="221" xfId="0" applyNumberFormat="1" applyFont="1" applyFill="1" applyBorder="1">
      <alignment vertical="center"/>
    </xf>
    <xf numFmtId="176" fontId="12" fillId="2" borderId="205" xfId="0" applyNumberFormat="1" applyFont="1" applyFill="1" applyBorder="1">
      <alignment vertical="center"/>
    </xf>
    <xf numFmtId="183" fontId="12" fillId="2" borderId="36" xfId="0" applyNumberFormat="1" applyFont="1" applyFill="1" applyBorder="1" applyAlignment="1">
      <alignment horizontal="center" vertical="center"/>
    </xf>
    <xf numFmtId="183" fontId="12" fillId="2" borderId="37" xfId="0" applyNumberFormat="1" applyFont="1" applyFill="1" applyBorder="1" applyAlignment="1">
      <alignment horizontal="center" vertical="center"/>
    </xf>
    <xf numFmtId="177" fontId="12" fillId="2" borderId="225" xfId="0" applyNumberFormat="1" applyFont="1" applyFill="1" applyBorder="1" applyAlignment="1" applyProtection="1">
      <alignment horizontal="right" vertical="center"/>
      <protection locked="0"/>
    </xf>
    <xf numFmtId="0" fontId="37" fillId="30" borderId="204" xfId="0" applyFont="1" applyFill="1" applyBorder="1" applyAlignment="1">
      <alignment horizontal="center" vertical="center" shrinkToFit="1"/>
    </xf>
    <xf numFmtId="0" fontId="37" fillId="30" borderId="205" xfId="0" applyFont="1" applyFill="1" applyBorder="1" applyAlignment="1">
      <alignment horizontal="center" vertical="center" shrinkToFit="1"/>
    </xf>
    <xf numFmtId="0" fontId="37" fillId="30" borderId="206" xfId="0" applyFont="1" applyFill="1" applyBorder="1" applyAlignment="1">
      <alignment horizontal="center" vertical="center" shrinkToFit="1"/>
    </xf>
    <xf numFmtId="183" fontId="12" fillId="48" borderId="205" xfId="0" applyNumberFormat="1" applyFont="1" applyFill="1" applyBorder="1" applyAlignment="1">
      <alignment horizontal="center" vertical="center"/>
    </xf>
    <xf numFmtId="183" fontId="12" fillId="48" borderId="220" xfId="0" applyNumberFormat="1" applyFont="1" applyFill="1" applyBorder="1" applyAlignment="1">
      <alignment horizontal="center" vertical="center"/>
    </xf>
    <xf numFmtId="177" fontId="12" fillId="2" borderId="225" xfId="0" applyNumberFormat="1" applyFont="1" applyFill="1" applyBorder="1" applyProtection="1">
      <alignment vertical="center"/>
      <protection locked="0"/>
    </xf>
    <xf numFmtId="177" fontId="12" fillId="2" borderId="226" xfId="0" applyNumberFormat="1" applyFont="1" applyFill="1" applyBorder="1" applyProtection="1">
      <alignment vertical="center"/>
      <protection locked="0"/>
    </xf>
    <xf numFmtId="177" fontId="12" fillId="2" borderId="50" xfId="0" applyNumberFormat="1" applyFont="1" applyFill="1" applyBorder="1">
      <alignment vertical="center"/>
    </xf>
    <xf numFmtId="177" fontId="12" fillId="2" borderId="51" xfId="0" applyNumberFormat="1" applyFont="1" applyFill="1" applyBorder="1">
      <alignment vertical="center"/>
    </xf>
    <xf numFmtId="177" fontId="12" fillId="2" borderId="222" xfId="0" applyNumberFormat="1" applyFont="1" applyFill="1" applyBorder="1">
      <alignment vertical="center"/>
    </xf>
    <xf numFmtId="177" fontId="12" fillId="2" borderId="199" xfId="0" applyNumberFormat="1" applyFont="1" applyFill="1" applyBorder="1">
      <alignment vertical="center"/>
    </xf>
    <xf numFmtId="177" fontId="12" fillId="2" borderId="53" xfId="0" applyNumberFormat="1" applyFont="1" applyFill="1" applyBorder="1">
      <alignment vertical="center"/>
    </xf>
    <xf numFmtId="177" fontId="12" fillId="2" borderId="134" xfId="0" applyNumberFormat="1" applyFont="1" applyFill="1" applyBorder="1">
      <alignment vertical="center"/>
    </xf>
    <xf numFmtId="0" fontId="37" fillId="11" borderId="198" xfId="0" applyFont="1" applyFill="1" applyBorder="1" applyAlignment="1">
      <alignment horizontal="center" vertical="center"/>
    </xf>
    <xf numFmtId="0" fontId="37" fillId="11" borderId="200" xfId="0" applyFont="1" applyFill="1" applyBorder="1" applyAlignment="1">
      <alignment horizontal="center" vertical="center"/>
    </xf>
    <xf numFmtId="0" fontId="37" fillId="11" borderId="199" xfId="0" applyFont="1" applyFill="1" applyBorder="1" applyAlignment="1">
      <alignment horizontal="center" vertical="center"/>
    </xf>
    <xf numFmtId="0" fontId="37" fillId="11" borderId="133" xfId="0" applyFont="1" applyFill="1" applyBorder="1" applyAlignment="1">
      <alignment horizontal="center" vertical="center"/>
    </xf>
    <xf numFmtId="0" fontId="37" fillId="11" borderId="137" xfId="0" applyFont="1" applyFill="1" applyBorder="1" applyAlignment="1">
      <alignment horizontal="center" vertical="center"/>
    </xf>
    <xf numFmtId="0" fontId="37" fillId="11" borderId="134" xfId="0" applyFont="1" applyFill="1" applyBorder="1" applyAlignment="1">
      <alignment horizontal="center" vertical="center"/>
    </xf>
    <xf numFmtId="177" fontId="12" fillId="2" borderId="221" xfId="0" applyNumberFormat="1" applyFont="1" applyFill="1" applyBorder="1">
      <alignment vertical="center"/>
    </xf>
    <xf numFmtId="177" fontId="12" fillId="2" borderId="206" xfId="0" applyNumberFormat="1" applyFont="1" applyFill="1" applyBorder="1">
      <alignment vertical="center"/>
    </xf>
    <xf numFmtId="0" fontId="37" fillId="5" borderId="159" xfId="0" applyFont="1" applyFill="1" applyBorder="1" applyAlignment="1">
      <alignment horizontal="center" vertical="center" textRotation="255" shrinkToFit="1"/>
    </xf>
    <xf numFmtId="183" fontId="12" fillId="47" borderId="36" xfId="0" applyNumberFormat="1" applyFont="1" applyFill="1" applyBorder="1" applyAlignment="1">
      <alignment horizontal="center" vertical="center"/>
    </xf>
    <xf numFmtId="183" fontId="12" fillId="47" borderId="37" xfId="0" applyNumberFormat="1" applyFont="1" applyFill="1" applyBorder="1" applyAlignment="1">
      <alignment horizontal="center" vertical="center"/>
    </xf>
    <xf numFmtId="177" fontId="24" fillId="2" borderId="206" xfId="3" applyFont="1" applyFill="1" applyBorder="1" applyAlignment="1">
      <alignment vertical="center"/>
    </xf>
    <xf numFmtId="0" fontId="37" fillId="9" borderId="204" xfId="0" applyFont="1" applyFill="1" applyBorder="1">
      <alignment vertical="center"/>
    </xf>
    <xf numFmtId="0" fontId="37" fillId="9" borderId="205" xfId="0" applyFont="1" applyFill="1" applyBorder="1">
      <alignment vertical="center"/>
    </xf>
    <xf numFmtId="177" fontId="24" fillId="49" borderId="200" xfId="3" applyFont="1" applyFill="1" applyBorder="1" applyAlignment="1">
      <alignment vertical="center" shrinkToFit="1"/>
    </xf>
    <xf numFmtId="0" fontId="37" fillId="5" borderId="204" xfId="0" applyFont="1" applyFill="1" applyBorder="1" applyAlignment="1">
      <alignment horizontal="center" vertical="center"/>
    </xf>
    <xf numFmtId="0" fontId="37" fillId="5" borderId="205" xfId="0" applyFont="1" applyFill="1" applyBorder="1" applyAlignment="1">
      <alignment horizontal="center" vertical="center"/>
    </xf>
    <xf numFmtId="181" fontId="22" fillId="48" borderId="204" xfId="0" applyNumberFormat="1" applyFont="1" applyFill="1" applyBorder="1">
      <alignment vertical="center"/>
    </xf>
    <xf numFmtId="181" fontId="22" fillId="48" borderId="205" xfId="0" applyNumberFormat="1" applyFont="1" applyFill="1" applyBorder="1">
      <alignment vertical="center"/>
    </xf>
    <xf numFmtId="181" fontId="22" fillId="49" borderId="198" xfId="0" applyNumberFormat="1" applyFont="1" applyFill="1" applyBorder="1">
      <alignment vertical="center"/>
    </xf>
    <xf numFmtId="181" fontId="22" fillId="49" borderId="200" xfId="0" applyNumberFormat="1" applyFont="1" applyFill="1" applyBorder="1">
      <alignment vertical="center"/>
    </xf>
    <xf numFmtId="177" fontId="22" fillId="24" borderId="33" xfId="0" applyNumberFormat="1" applyFont="1" applyFill="1" applyBorder="1" applyProtection="1">
      <alignment vertical="center"/>
      <protection locked="0"/>
    </xf>
    <xf numFmtId="177" fontId="24" fillId="49" borderId="198" xfId="3" applyFont="1" applyFill="1" applyBorder="1" applyAlignment="1">
      <alignment vertical="center" shrinkToFit="1"/>
    </xf>
    <xf numFmtId="177" fontId="12" fillId="2" borderId="164" xfId="0" applyNumberFormat="1" applyFont="1" applyFill="1" applyBorder="1" applyAlignment="1">
      <alignment horizontal="right" vertical="center"/>
    </xf>
    <xf numFmtId="0" fontId="37" fillId="5" borderId="133" xfId="0" applyFont="1" applyFill="1" applyBorder="1" applyAlignment="1">
      <alignment horizontal="center" vertical="center"/>
    </xf>
    <xf numFmtId="0" fontId="37" fillId="5" borderId="137" xfId="0" applyFont="1" applyFill="1" applyBorder="1" applyAlignment="1">
      <alignment horizontal="center" vertical="center"/>
    </xf>
    <xf numFmtId="177" fontId="7" fillId="0" borderId="35" xfId="0" applyNumberFormat="1" applyFont="1" applyBorder="1">
      <alignment vertical="center"/>
    </xf>
    <xf numFmtId="177" fontId="11" fillId="2" borderId="160" xfId="0" applyNumberFormat="1" applyFont="1" applyFill="1" applyBorder="1">
      <alignment vertical="center"/>
    </xf>
    <xf numFmtId="177" fontId="11" fillId="2" borderId="52" xfId="0" applyNumberFormat="1" applyFont="1" applyFill="1" applyBorder="1">
      <alignment vertical="center"/>
    </xf>
    <xf numFmtId="0" fontId="9" fillId="5" borderId="53" xfId="0" applyFont="1" applyFill="1" applyBorder="1" applyAlignment="1">
      <alignment horizontal="center" vertical="center"/>
    </xf>
    <xf numFmtId="0" fontId="9" fillId="5" borderId="134" xfId="0" applyFont="1" applyFill="1" applyBorder="1" applyAlignment="1">
      <alignment horizontal="center" vertical="center"/>
    </xf>
    <xf numFmtId="177" fontId="23" fillId="2" borderId="186" xfId="3" applyFont="1" applyFill="1" applyBorder="1" applyAlignment="1">
      <alignment vertical="center" shrinkToFit="1"/>
    </xf>
    <xf numFmtId="0" fontId="50" fillId="5" borderId="206" xfId="0" applyFont="1" applyFill="1" applyBorder="1" applyAlignment="1">
      <alignment horizontal="center" vertical="center" shrinkToFit="1"/>
    </xf>
    <xf numFmtId="0" fontId="37" fillId="13" borderId="266" xfId="0" applyFont="1" applyFill="1" applyBorder="1" applyAlignment="1">
      <alignment horizontal="center" vertical="center" textRotation="255" shrinkToFit="1"/>
    </xf>
    <xf numFmtId="0" fontId="37" fillId="13" borderId="172" xfId="0" applyFont="1" applyFill="1" applyBorder="1" applyAlignment="1">
      <alignment horizontal="center" vertical="center" textRotation="255" shrinkToFit="1"/>
    </xf>
    <xf numFmtId="0" fontId="37" fillId="13" borderId="35" xfId="0" applyFont="1" applyFill="1" applyBorder="1" applyAlignment="1">
      <alignment horizontal="center" vertical="center" textRotation="255" shrinkToFit="1"/>
    </xf>
    <xf numFmtId="178" fontId="37" fillId="9" borderId="204" xfId="0" applyNumberFormat="1" applyFont="1" applyFill="1" applyBorder="1" applyAlignment="1">
      <alignment horizontal="left" vertical="center" wrapText="1" shrinkToFit="1"/>
    </xf>
    <xf numFmtId="178" fontId="37" fillId="9" borderId="205" xfId="0" applyNumberFormat="1" applyFont="1" applyFill="1" applyBorder="1" applyAlignment="1">
      <alignment horizontal="left" vertical="center" shrinkToFit="1"/>
    </xf>
    <xf numFmtId="178" fontId="37" fillId="9" borderId="206" xfId="0" applyNumberFormat="1" applyFont="1" applyFill="1" applyBorder="1" applyAlignment="1">
      <alignment horizontal="left" vertical="center" shrinkToFit="1"/>
    </xf>
    <xf numFmtId="0" fontId="37" fillId="5" borderId="198" xfId="0" applyFont="1" applyFill="1" applyBorder="1" applyAlignment="1">
      <alignment horizontal="left" vertical="center"/>
    </xf>
    <xf numFmtId="0" fontId="49" fillId="5" borderId="200" xfId="0" applyFont="1" applyFill="1" applyBorder="1" applyAlignment="1">
      <alignment horizontal="left" vertical="center"/>
    </xf>
    <xf numFmtId="0" fontId="37" fillId="5" borderId="221" xfId="0" applyFont="1" applyFill="1" applyBorder="1" applyAlignment="1">
      <alignment horizontal="center" vertical="center"/>
    </xf>
    <xf numFmtId="0" fontId="37" fillId="5" borderId="206" xfId="0" applyFont="1" applyFill="1" applyBorder="1" applyAlignment="1">
      <alignment horizontal="center" vertical="center"/>
    </xf>
    <xf numFmtId="0" fontId="37" fillId="30" borderId="163" xfId="0" applyFont="1" applyFill="1" applyBorder="1">
      <alignment vertical="center"/>
    </xf>
    <xf numFmtId="0" fontId="37" fillId="30" borderId="22" xfId="0" applyFont="1" applyFill="1" applyBorder="1">
      <alignment vertical="center"/>
    </xf>
    <xf numFmtId="177" fontId="23" fillId="2" borderId="134" xfId="3" applyFont="1" applyFill="1" applyBorder="1" applyAlignment="1">
      <alignment vertical="center" shrinkToFit="1"/>
    </xf>
    <xf numFmtId="0" fontId="37" fillId="5" borderId="220" xfId="0" applyFont="1" applyFill="1" applyBorder="1" applyAlignment="1">
      <alignment horizontal="center" vertical="center"/>
    </xf>
    <xf numFmtId="0" fontId="13" fillId="33" borderId="223" xfId="0" applyFont="1" applyFill="1" applyBorder="1" applyAlignment="1">
      <alignment horizontal="center" shrinkToFit="1"/>
    </xf>
    <xf numFmtId="177" fontId="12" fillId="2" borderId="133" xfId="0" applyNumberFormat="1" applyFont="1" applyFill="1" applyBorder="1">
      <alignment vertical="center"/>
    </xf>
    <xf numFmtId="177" fontId="22" fillId="24" borderId="157" xfId="0" applyNumberFormat="1" applyFont="1" applyFill="1" applyBorder="1" applyAlignment="1" applyProtection="1">
      <alignment horizontal="center" vertical="center"/>
      <protection locked="0"/>
    </xf>
    <xf numFmtId="177" fontId="22" fillId="24" borderId="34" xfId="0" applyNumberFormat="1" applyFont="1" applyFill="1" applyBorder="1" applyAlignment="1" applyProtection="1">
      <alignment horizontal="center" vertical="center"/>
      <protection locked="0"/>
    </xf>
    <xf numFmtId="177" fontId="24" fillId="49" borderId="199" xfId="3" applyFont="1" applyFill="1" applyBorder="1" applyAlignment="1">
      <alignment vertical="center" shrinkToFit="1"/>
    </xf>
    <xf numFmtId="177" fontId="24" fillId="48" borderId="206" xfId="3" applyFont="1" applyFill="1" applyBorder="1" applyAlignment="1">
      <alignment vertical="center" shrinkToFit="1"/>
    </xf>
    <xf numFmtId="177" fontId="24" fillId="47" borderId="206" xfId="3" applyFont="1" applyFill="1" applyBorder="1" applyAlignment="1">
      <alignment vertical="center"/>
    </xf>
    <xf numFmtId="181" fontId="23" fillId="2" borderId="133" xfId="0" applyNumberFormat="1" applyFont="1" applyFill="1" applyBorder="1" applyAlignment="1">
      <alignment horizontal="right" vertical="center"/>
    </xf>
    <xf numFmtId="181" fontId="23" fillId="2" borderId="137" xfId="0" applyNumberFormat="1" applyFont="1" applyFill="1" applyBorder="1" applyAlignment="1">
      <alignment horizontal="right" vertical="center"/>
    </xf>
    <xf numFmtId="0" fontId="21" fillId="10" borderId="133" xfId="0" applyFont="1" applyFill="1" applyBorder="1">
      <alignment vertical="center"/>
    </xf>
    <xf numFmtId="0" fontId="21" fillId="10" borderId="137" xfId="0" applyFont="1" applyFill="1" applyBorder="1">
      <alignment vertical="center"/>
    </xf>
    <xf numFmtId="0" fontId="21" fillId="10" borderId="134" xfId="0" applyFont="1" applyFill="1" applyBorder="1">
      <alignment vertical="center"/>
    </xf>
    <xf numFmtId="0" fontId="9" fillId="2" borderId="215" xfId="0" applyFont="1" applyFill="1" applyBorder="1" applyAlignment="1">
      <alignment horizontal="center" vertical="center"/>
    </xf>
    <xf numFmtId="0" fontId="9" fillId="2" borderId="216" xfId="0" applyFont="1" applyFill="1" applyBorder="1" applyAlignment="1">
      <alignment horizontal="center" vertical="center"/>
    </xf>
    <xf numFmtId="0" fontId="50" fillId="5" borderId="137" xfId="0" applyFont="1" applyFill="1" applyBorder="1" applyAlignment="1">
      <alignment horizontal="center" vertical="center"/>
    </xf>
    <xf numFmtId="0" fontId="9" fillId="2" borderId="255" xfId="0" applyFont="1" applyFill="1" applyBorder="1" applyAlignment="1">
      <alignment horizontal="center" vertical="center"/>
    </xf>
    <xf numFmtId="0" fontId="9" fillId="2" borderId="207" xfId="0" applyFont="1" applyFill="1" applyBorder="1" applyAlignment="1">
      <alignment horizontal="center" vertical="center"/>
    </xf>
    <xf numFmtId="181" fontId="22" fillId="24" borderId="33" xfId="0" applyNumberFormat="1" applyFont="1" applyFill="1" applyBorder="1" applyAlignment="1" applyProtection="1">
      <alignment horizontal="right" vertical="center"/>
      <protection locked="0"/>
    </xf>
    <xf numFmtId="181" fontId="22" fillId="24" borderId="34" xfId="0" applyNumberFormat="1" applyFont="1" applyFill="1" applyBorder="1" applyAlignment="1" applyProtection="1">
      <alignment horizontal="right" vertical="center"/>
      <protection locked="0"/>
    </xf>
    <xf numFmtId="0" fontId="73" fillId="0" borderId="0" xfId="5" applyAlignment="1" applyProtection="1">
      <alignment horizontal="center" vertical="center"/>
      <protection locked="0"/>
    </xf>
    <xf numFmtId="0" fontId="61" fillId="5" borderId="205" xfId="0" applyFont="1" applyFill="1" applyBorder="1" applyAlignment="1">
      <alignment vertical="center" wrapText="1"/>
    </xf>
    <xf numFmtId="0" fontId="61" fillId="5" borderId="206" xfId="0" applyFont="1" applyFill="1" applyBorder="1" applyAlignment="1">
      <alignment vertical="center" wrapText="1"/>
    </xf>
    <xf numFmtId="177" fontId="24" fillId="49" borderId="218" xfId="3" applyFont="1" applyFill="1" applyBorder="1" applyAlignment="1">
      <alignment vertical="center" shrinkToFit="1"/>
    </xf>
    <xf numFmtId="177" fontId="12" fillId="24" borderId="157" xfId="0" applyNumberFormat="1" applyFont="1" applyFill="1" applyBorder="1" applyAlignment="1" applyProtection="1">
      <alignment horizontal="center" vertical="center"/>
      <protection locked="0"/>
    </xf>
    <xf numFmtId="177" fontId="12" fillId="24" borderId="188" xfId="0" applyNumberFormat="1" applyFont="1" applyFill="1" applyBorder="1" applyAlignment="1" applyProtection="1">
      <alignment horizontal="center" vertical="center"/>
      <protection locked="0"/>
    </xf>
    <xf numFmtId="180" fontId="54" fillId="49" borderId="117" xfId="0" applyNumberFormat="1" applyFont="1" applyFill="1" applyBorder="1" applyAlignment="1">
      <alignment horizontal="center" vertical="center" wrapText="1"/>
    </xf>
    <xf numFmtId="180" fontId="57" fillId="2" borderId="0" xfId="0" applyNumberFormat="1" applyFont="1" applyFill="1" applyAlignment="1">
      <alignment horizontal="center" vertical="center" wrapText="1"/>
    </xf>
    <xf numFmtId="0" fontId="57" fillId="2" borderId="0" xfId="0" applyFont="1" applyFill="1" applyAlignment="1">
      <alignment horizontal="center" vertical="center" wrapText="1"/>
    </xf>
    <xf numFmtId="192" fontId="12" fillId="0" borderId="200" xfId="0" applyNumberFormat="1" applyFont="1" applyBorder="1" applyAlignment="1">
      <alignment horizontal="center" vertical="center"/>
    </xf>
    <xf numFmtId="181" fontId="11" fillId="33" borderId="205" xfId="0" applyNumberFormat="1" applyFont="1" applyFill="1" applyBorder="1" applyAlignment="1">
      <alignment horizontal="center" vertical="center"/>
    </xf>
    <xf numFmtId="38" fontId="56" fillId="2" borderId="0" xfId="1" applyFont="1" applyFill="1" applyBorder="1" applyAlignment="1">
      <alignment horizontal="center" vertical="center" shrinkToFit="1"/>
    </xf>
    <xf numFmtId="180" fontId="54" fillId="48" borderId="0" xfId="0" applyNumberFormat="1" applyFont="1" applyFill="1" applyAlignment="1">
      <alignment horizontal="center" vertical="center" wrapText="1"/>
    </xf>
    <xf numFmtId="0" fontId="52" fillId="48" borderId="0" xfId="0" applyFont="1" applyFill="1" applyAlignment="1">
      <alignment horizontal="center" vertical="center" wrapText="1"/>
    </xf>
    <xf numFmtId="0" fontId="37" fillId="0" borderId="125" xfId="0" applyFont="1" applyBorder="1" applyAlignment="1">
      <alignment vertical="center" wrapText="1"/>
    </xf>
    <xf numFmtId="0" fontId="37" fillId="0" borderId="127" xfId="0" applyFont="1" applyBorder="1" applyAlignment="1">
      <alignment vertical="center" wrapText="1"/>
    </xf>
    <xf numFmtId="0" fontId="59" fillId="49" borderId="205" xfId="0" applyFont="1" applyFill="1" applyBorder="1" applyAlignment="1">
      <alignment horizontal="center" vertical="center"/>
    </xf>
    <xf numFmtId="0" fontId="59" fillId="49" borderId="206" xfId="0" applyFont="1" applyFill="1" applyBorder="1" applyAlignment="1">
      <alignment horizontal="center" vertical="center"/>
    </xf>
    <xf numFmtId="0" fontId="37" fillId="34" borderId="198" xfId="0" applyFont="1" applyFill="1" applyBorder="1" applyAlignment="1">
      <alignment horizontal="center" vertical="center" wrapText="1"/>
    </xf>
    <xf numFmtId="0" fontId="37" fillId="34" borderId="199" xfId="0" applyFont="1" applyFill="1" applyBorder="1" applyAlignment="1">
      <alignment horizontal="center" vertical="center" wrapText="1"/>
    </xf>
    <xf numFmtId="0" fontId="37" fillId="34" borderId="159" xfId="0" applyFont="1" applyFill="1" applyBorder="1" applyAlignment="1">
      <alignment horizontal="center" vertical="center" wrapText="1"/>
    </xf>
    <xf numFmtId="0" fontId="37" fillId="34" borderId="249" xfId="0" applyFont="1" applyFill="1" applyBorder="1" applyAlignment="1">
      <alignment horizontal="center" vertical="center" wrapText="1"/>
    </xf>
    <xf numFmtId="0" fontId="37" fillId="34" borderId="133" xfId="0" applyFont="1" applyFill="1" applyBorder="1" applyAlignment="1">
      <alignment horizontal="center" vertical="center" wrapText="1"/>
    </xf>
    <xf numFmtId="0" fontId="83" fillId="47" borderId="144" xfId="0" applyFont="1" applyFill="1" applyBorder="1" applyAlignment="1">
      <alignment horizontal="right" vertical="center"/>
    </xf>
    <xf numFmtId="0" fontId="83" fillId="47" borderId="137" xfId="0" applyFont="1" applyFill="1" applyBorder="1" applyAlignment="1">
      <alignment horizontal="right" vertical="center"/>
    </xf>
    <xf numFmtId="0" fontId="59" fillId="47" borderId="0" xfId="0" applyFont="1" applyFill="1" applyAlignment="1">
      <alignment horizontal="center" vertical="center"/>
    </xf>
    <xf numFmtId="0" fontId="59" fillId="47" borderId="143" xfId="0" applyFont="1" applyFill="1" applyBorder="1" applyAlignment="1">
      <alignment horizontal="center" vertical="center"/>
    </xf>
    <xf numFmtId="181" fontId="11" fillId="8" borderId="21" xfId="0" applyNumberFormat="1" applyFont="1" applyFill="1" applyBorder="1" applyAlignment="1" applyProtection="1">
      <alignment horizontal="center" vertical="center"/>
      <protection locked="0"/>
    </xf>
    <xf numFmtId="181" fontId="11" fillId="8" borderId="23" xfId="0" applyNumberFormat="1" applyFont="1" applyFill="1" applyBorder="1" applyAlignment="1" applyProtection="1">
      <alignment horizontal="center" vertical="center"/>
      <protection locked="0"/>
    </xf>
    <xf numFmtId="0" fontId="45" fillId="30" borderId="204" xfId="0" applyFont="1" applyFill="1" applyBorder="1" applyAlignment="1">
      <alignment horizontal="center" vertical="center"/>
    </xf>
    <xf numFmtId="0" fontId="45" fillId="30" borderId="205" xfId="0" applyFont="1" applyFill="1" applyBorder="1" applyAlignment="1">
      <alignment horizontal="center" vertical="center"/>
    </xf>
    <xf numFmtId="0" fontId="45" fillId="30" borderId="206" xfId="0" applyFont="1" applyFill="1" applyBorder="1" applyAlignment="1">
      <alignment horizontal="center" vertical="center"/>
    </xf>
    <xf numFmtId="0" fontId="15" fillId="7" borderId="0" xfId="0" applyFont="1" applyFill="1" applyAlignment="1">
      <alignment horizontal="left" vertical="center" shrinkToFit="1"/>
    </xf>
    <xf numFmtId="0" fontId="37" fillId="9" borderId="198" xfId="0" applyFont="1" applyFill="1" applyBorder="1" applyAlignment="1">
      <alignment horizontal="center" vertical="center" textRotation="255"/>
    </xf>
    <xf numFmtId="0" fontId="37" fillId="9" borderId="159" xfId="0" applyFont="1" applyFill="1" applyBorder="1" applyAlignment="1">
      <alignment horizontal="center" vertical="center" textRotation="255"/>
    </xf>
    <xf numFmtId="0" fontId="37" fillId="9" borderId="133" xfId="0" applyFont="1" applyFill="1" applyBorder="1" applyAlignment="1">
      <alignment horizontal="center" vertical="center" textRotation="255"/>
    </xf>
    <xf numFmtId="0" fontId="9" fillId="2" borderId="255" xfId="0" applyFont="1" applyFill="1" applyBorder="1" applyAlignment="1">
      <alignment horizontal="center" vertical="center" wrapText="1"/>
    </xf>
    <xf numFmtId="0" fontId="9" fillId="2" borderId="256" xfId="0" applyFont="1" applyFill="1" applyBorder="1" applyAlignment="1">
      <alignment horizontal="center" vertical="center" wrapText="1"/>
    </xf>
    <xf numFmtId="0" fontId="9" fillId="2" borderId="256" xfId="0" applyFont="1" applyFill="1" applyBorder="1" applyAlignment="1">
      <alignment horizontal="center" vertical="center"/>
    </xf>
    <xf numFmtId="0" fontId="59" fillId="49" borderId="210" xfId="0" applyFont="1" applyFill="1" applyBorder="1" applyAlignment="1">
      <alignment horizontal="center" vertical="center"/>
    </xf>
    <xf numFmtId="0" fontId="59" fillId="49" borderId="200" xfId="0" applyFont="1" applyFill="1" applyBorder="1" applyAlignment="1">
      <alignment horizontal="center" vertical="center"/>
    </xf>
    <xf numFmtId="0" fontId="59" fillId="49" borderId="199" xfId="0" applyFont="1" applyFill="1" applyBorder="1" applyAlignment="1">
      <alignment horizontal="center" vertical="center"/>
    </xf>
    <xf numFmtId="0" fontId="52" fillId="49" borderId="0" xfId="0" applyFont="1" applyFill="1" applyAlignment="1">
      <alignment horizontal="center" vertical="center" wrapText="1"/>
    </xf>
    <xf numFmtId="0" fontId="52" fillId="49" borderId="137" xfId="0" applyFont="1" applyFill="1" applyBorder="1" applyAlignment="1">
      <alignment horizontal="center" vertical="center" wrapText="1"/>
    </xf>
    <xf numFmtId="0" fontId="52" fillId="2" borderId="146" xfId="0" applyFont="1" applyFill="1" applyBorder="1" applyAlignment="1">
      <alignment horizontal="center" vertical="center" wrapText="1"/>
    </xf>
    <xf numFmtId="0" fontId="52" fillId="2" borderId="147" xfId="0" applyFont="1" applyFill="1" applyBorder="1" applyAlignment="1">
      <alignment horizontal="center" vertical="center" wrapText="1"/>
    </xf>
    <xf numFmtId="180" fontId="11" fillId="2" borderId="137" xfId="0" applyNumberFormat="1" applyFont="1" applyFill="1" applyBorder="1" applyAlignment="1">
      <alignment horizontal="center" vertical="center"/>
    </xf>
    <xf numFmtId="0" fontId="52" fillId="48" borderId="205" xfId="0" applyFont="1" applyFill="1" applyBorder="1" applyAlignment="1">
      <alignment horizontal="center" vertical="center" wrapText="1"/>
    </xf>
    <xf numFmtId="0" fontId="52" fillId="48" borderId="206" xfId="0" applyFont="1" applyFill="1" applyBorder="1" applyAlignment="1">
      <alignment horizontal="center" vertical="center" wrapText="1"/>
    </xf>
    <xf numFmtId="0" fontId="37" fillId="9" borderId="133" xfId="0" applyFont="1" applyFill="1" applyBorder="1" applyAlignment="1">
      <alignment horizontal="center" vertical="center" wrapText="1"/>
    </xf>
    <xf numFmtId="0" fontId="37" fillId="9" borderId="134" xfId="0" applyFont="1" applyFill="1" applyBorder="1" applyAlignment="1">
      <alignment horizontal="center" vertical="center" wrapText="1"/>
    </xf>
    <xf numFmtId="0" fontId="9" fillId="48" borderId="133" xfId="0" applyFont="1" applyFill="1" applyBorder="1" applyAlignment="1">
      <alignment horizontal="center" vertical="center"/>
    </xf>
    <xf numFmtId="0" fontId="9" fillId="48" borderId="137" xfId="0" applyFont="1" applyFill="1" applyBorder="1" applyAlignment="1">
      <alignment horizontal="center" vertical="center"/>
    </xf>
    <xf numFmtId="0" fontId="73" fillId="34" borderId="133" xfId="5" applyFill="1" applyBorder="1" applyAlignment="1" applyProtection="1">
      <alignment horizontal="center" vertical="center"/>
      <protection locked="0"/>
    </xf>
    <xf numFmtId="0" fontId="73" fillId="34" borderId="137" xfId="5" applyFill="1" applyBorder="1" applyAlignment="1" applyProtection="1">
      <alignment horizontal="center" vertical="center"/>
      <protection locked="0"/>
    </xf>
    <xf numFmtId="0" fontId="73" fillId="34" borderId="134" xfId="5" applyFill="1" applyBorder="1" applyAlignment="1" applyProtection="1">
      <alignment horizontal="center" vertical="center"/>
      <protection locked="0"/>
    </xf>
    <xf numFmtId="0" fontId="9" fillId="2" borderId="208" xfId="0" applyFont="1" applyFill="1" applyBorder="1" applyAlignment="1">
      <alignment horizontal="center" vertical="center"/>
    </xf>
    <xf numFmtId="0" fontId="9" fillId="2" borderId="209" xfId="0" applyFont="1" applyFill="1" applyBorder="1" applyAlignment="1">
      <alignment horizontal="center" vertical="center"/>
    </xf>
    <xf numFmtId="180" fontId="11" fillId="33" borderId="150" xfId="0" applyNumberFormat="1" applyFont="1" applyFill="1" applyBorder="1" applyAlignment="1">
      <alignment horizontal="center" vertical="center"/>
    </xf>
    <xf numFmtId="0" fontId="52" fillId="47" borderId="205" xfId="0" applyFont="1" applyFill="1" applyBorder="1" applyAlignment="1">
      <alignment horizontal="center" vertical="center" wrapText="1"/>
    </xf>
    <xf numFmtId="0" fontId="52" fillId="47" borderId="206" xfId="0" applyFont="1" applyFill="1" applyBorder="1" applyAlignment="1">
      <alignment horizontal="center" vertical="center" wrapText="1"/>
    </xf>
    <xf numFmtId="0" fontId="92" fillId="0" borderId="159" xfId="5" applyFont="1" applyBorder="1" applyAlignment="1">
      <alignment horizontal="center" vertical="center" textRotation="255"/>
    </xf>
    <xf numFmtId="0" fontId="92" fillId="0" borderId="159" xfId="0" applyFont="1" applyBorder="1" applyAlignment="1">
      <alignment horizontal="center" vertical="center" textRotation="255"/>
    </xf>
    <xf numFmtId="0" fontId="9" fillId="2" borderId="198" xfId="0" applyFont="1" applyFill="1" applyBorder="1" applyAlignment="1">
      <alignment horizontal="left" vertical="center" shrinkToFit="1"/>
    </xf>
    <xf numFmtId="0" fontId="9" fillId="2" borderId="200" xfId="0" applyFont="1" applyFill="1" applyBorder="1" applyAlignment="1">
      <alignment horizontal="left" vertical="center" shrinkToFit="1"/>
    </xf>
    <xf numFmtId="0" fontId="37" fillId="30" borderId="198" xfId="0" applyFont="1" applyFill="1" applyBorder="1" applyAlignment="1">
      <alignment horizontal="center" vertical="center" wrapText="1"/>
    </xf>
    <xf numFmtId="0" fontId="37" fillId="30" borderId="199" xfId="0" applyFont="1" applyFill="1" applyBorder="1" applyAlignment="1">
      <alignment horizontal="center" vertical="center" wrapText="1"/>
    </xf>
    <xf numFmtId="0" fontId="37" fillId="30" borderId="159" xfId="0" applyFont="1" applyFill="1" applyBorder="1" applyAlignment="1">
      <alignment horizontal="center" vertical="center" wrapText="1"/>
    </xf>
    <xf numFmtId="0" fontId="37" fillId="30" borderId="249" xfId="0" applyFont="1" applyFill="1" applyBorder="1" applyAlignment="1">
      <alignment horizontal="center" vertical="center" wrapText="1"/>
    </xf>
    <xf numFmtId="0" fontId="37" fillId="30" borderId="133" xfId="0" applyFont="1" applyFill="1" applyBorder="1" applyAlignment="1">
      <alignment horizontal="center" vertical="center" wrapText="1"/>
    </xf>
    <xf numFmtId="0" fontId="37" fillId="30" borderId="134" xfId="0" applyFont="1" applyFill="1" applyBorder="1" applyAlignment="1">
      <alignment horizontal="center" vertical="center" wrapText="1"/>
    </xf>
    <xf numFmtId="0" fontId="7" fillId="13" borderId="202" xfId="0" applyFont="1" applyFill="1" applyBorder="1" applyAlignment="1">
      <alignment horizontal="center" vertical="center"/>
    </xf>
    <xf numFmtId="0" fontId="0" fillId="12" borderId="252" xfId="0" applyFill="1" applyBorder="1" applyAlignment="1" applyProtection="1">
      <alignment horizontal="center" vertical="center"/>
      <protection locked="0"/>
    </xf>
    <xf numFmtId="0" fontId="0" fillId="12" borderId="201" xfId="0" applyFill="1" applyBorder="1" applyAlignment="1" applyProtection="1">
      <alignment horizontal="center" vertical="center"/>
      <protection locked="0"/>
    </xf>
    <xf numFmtId="186" fontId="9" fillId="12" borderId="252" xfId="0" applyNumberFormat="1" applyFont="1" applyFill="1" applyBorder="1" applyAlignment="1" applyProtection="1">
      <alignment horizontal="center" vertical="center" wrapText="1"/>
      <protection locked="0"/>
    </xf>
    <xf numFmtId="186" fontId="9" fillId="12" borderId="291" xfId="0" applyNumberFormat="1" applyFont="1" applyFill="1" applyBorder="1" applyAlignment="1" applyProtection="1">
      <alignment horizontal="center" vertical="center" wrapText="1"/>
      <protection locked="0"/>
    </xf>
    <xf numFmtId="186" fontId="9" fillId="12" borderId="292" xfId="0" applyNumberFormat="1" applyFont="1" applyFill="1" applyBorder="1" applyAlignment="1" applyProtection="1">
      <alignment horizontal="center" vertical="center" wrapText="1"/>
      <protection locked="0"/>
    </xf>
    <xf numFmtId="186" fontId="9" fillId="12" borderId="201" xfId="0" applyNumberFormat="1" applyFont="1" applyFill="1" applyBorder="1" applyAlignment="1" applyProtection="1">
      <alignment horizontal="center" vertical="center" wrapText="1"/>
      <protection locked="0"/>
    </xf>
    <xf numFmtId="0" fontId="0" fillId="0" borderId="252" xfId="0" applyBorder="1" applyAlignment="1">
      <alignment horizontal="center" vertical="center"/>
    </xf>
    <xf numFmtId="0" fontId="0" fillId="0" borderId="201" xfId="0" applyBorder="1" applyAlignment="1">
      <alignment horizontal="center" vertical="center"/>
    </xf>
    <xf numFmtId="0" fontId="0" fillId="0" borderId="202" xfId="0" applyBorder="1" applyAlignment="1">
      <alignment horizontal="center" vertical="center"/>
    </xf>
    <xf numFmtId="0" fontId="0" fillId="13" borderId="201" xfId="0" applyFill="1" applyBorder="1">
      <alignment vertical="center"/>
    </xf>
    <xf numFmtId="0" fontId="60" fillId="0" borderId="233" xfId="0" applyFont="1" applyBorder="1" applyAlignment="1">
      <alignment vertical="top" wrapText="1"/>
    </xf>
    <xf numFmtId="180" fontId="54" fillId="2" borderId="137" xfId="0" applyNumberFormat="1" applyFont="1" applyFill="1" applyBorder="1" applyAlignment="1">
      <alignment horizontal="center" vertical="center" wrapText="1"/>
    </xf>
    <xf numFmtId="180" fontId="54" fillId="2" borderId="117" xfId="0" applyNumberFormat="1" applyFont="1" applyFill="1" applyBorder="1" applyAlignment="1">
      <alignment horizontal="center" vertical="center" wrapText="1"/>
    </xf>
    <xf numFmtId="0" fontId="52" fillId="2" borderId="137" xfId="0" applyFont="1" applyFill="1" applyBorder="1" applyAlignment="1">
      <alignment horizontal="center" vertical="center" wrapText="1"/>
    </xf>
    <xf numFmtId="0" fontId="9" fillId="2" borderId="135" xfId="0" applyFont="1" applyFill="1" applyBorder="1" applyAlignment="1">
      <alignment horizontal="center" vertical="center"/>
    </xf>
    <xf numFmtId="0" fontId="9" fillId="2" borderId="136" xfId="0" applyFont="1" applyFill="1" applyBorder="1" applyAlignment="1">
      <alignment horizontal="center" vertical="center"/>
    </xf>
    <xf numFmtId="0" fontId="9" fillId="47" borderId="208" xfId="0" applyFont="1" applyFill="1" applyBorder="1" applyAlignment="1">
      <alignment horizontal="center" vertical="center"/>
    </xf>
    <xf numFmtId="0" fontId="9" fillId="47" borderId="209" xfId="0" applyFont="1" applyFill="1" applyBorder="1" applyAlignment="1">
      <alignment horizontal="center" vertical="center"/>
    </xf>
    <xf numFmtId="0" fontId="28" fillId="14" borderId="101" xfId="0" applyFont="1" applyFill="1" applyBorder="1" applyAlignment="1">
      <alignment horizontal="center" vertical="center"/>
    </xf>
    <xf numFmtId="0" fontId="28" fillId="14" borderId="102" xfId="0" applyFont="1" applyFill="1" applyBorder="1" applyAlignment="1">
      <alignment horizontal="center" vertical="center"/>
    </xf>
    <xf numFmtId="0" fontId="28" fillId="14" borderId="103" xfId="0" applyFont="1" applyFill="1" applyBorder="1" applyAlignment="1">
      <alignment horizontal="center" vertical="center"/>
    </xf>
    <xf numFmtId="0" fontId="0" fillId="0" borderId="104" xfId="0" applyBorder="1" applyAlignment="1">
      <alignment horizontal="center" vertical="center" textRotation="255"/>
    </xf>
    <xf numFmtId="0" fontId="0" fillId="0" borderId="0" xfId="0" applyAlignment="1">
      <alignment horizontal="center" vertical="center" textRotation="255"/>
    </xf>
    <xf numFmtId="0" fontId="0" fillId="12" borderId="0" xfId="0" applyFill="1" applyAlignment="1">
      <alignment horizontal="center" vertical="center"/>
    </xf>
    <xf numFmtId="0" fontId="0" fillId="25" borderId="0" xfId="0" applyFill="1" applyAlignment="1">
      <alignment horizontal="center" vertical="center"/>
    </xf>
    <xf numFmtId="0" fontId="0" fillId="26" borderId="0" xfId="0" applyFill="1" applyAlignment="1">
      <alignment horizontal="center" vertical="center"/>
    </xf>
    <xf numFmtId="0" fontId="0" fillId="0" borderId="104" xfId="0" applyBorder="1" applyAlignment="1">
      <alignment horizontal="center" vertical="center" textRotation="255" shrinkToFit="1"/>
    </xf>
    <xf numFmtId="55" fontId="28" fillId="27" borderId="109" xfId="0" applyNumberFormat="1" applyFont="1" applyFill="1" applyBorder="1" applyAlignment="1">
      <alignment horizontal="center" vertical="center" wrapText="1"/>
    </xf>
    <xf numFmtId="0" fontId="28" fillId="27" borderId="110" xfId="0" applyFont="1" applyFill="1" applyBorder="1" applyAlignment="1">
      <alignment horizontal="center" vertical="center"/>
    </xf>
    <xf numFmtId="0" fontId="28" fillId="27" borderId="111" xfId="0" applyFont="1" applyFill="1" applyBorder="1" applyAlignment="1">
      <alignment horizontal="center" vertical="center"/>
    </xf>
    <xf numFmtId="0" fontId="28" fillId="27" borderId="112" xfId="0" applyFont="1" applyFill="1" applyBorder="1" applyAlignment="1">
      <alignment horizontal="center" vertical="center"/>
    </xf>
    <xf numFmtId="0" fontId="28" fillId="27" borderId="0" xfId="0" applyFont="1" applyFill="1" applyAlignment="1">
      <alignment horizontal="center" vertical="center"/>
    </xf>
    <xf numFmtId="0" fontId="28" fillId="27" borderId="113" xfId="0" applyFont="1" applyFill="1" applyBorder="1" applyAlignment="1">
      <alignment horizontal="center" vertical="center"/>
    </xf>
    <xf numFmtId="0" fontId="0" fillId="0" borderId="112" xfId="0" applyBorder="1" applyAlignment="1">
      <alignment horizontal="center" vertical="center" textRotation="255" shrinkToFit="1"/>
    </xf>
    <xf numFmtId="0" fontId="28" fillId="27" borderId="109" xfId="0" applyFont="1" applyFill="1" applyBorder="1" applyAlignment="1">
      <alignment horizontal="center" vertical="center" wrapText="1"/>
    </xf>
    <xf numFmtId="0" fontId="28" fillId="27" borderId="110" xfId="0" applyFont="1" applyFill="1" applyBorder="1" applyAlignment="1">
      <alignment horizontal="center" vertical="center" wrapText="1"/>
    </xf>
    <xf numFmtId="0" fontId="28" fillId="27" borderId="111" xfId="0" applyFont="1" applyFill="1" applyBorder="1" applyAlignment="1">
      <alignment horizontal="center" vertical="center" wrapText="1"/>
    </xf>
    <xf numFmtId="0" fontId="28" fillId="27" borderId="112" xfId="0" applyFont="1" applyFill="1" applyBorder="1" applyAlignment="1">
      <alignment horizontal="center" vertical="center" wrapText="1"/>
    </xf>
    <xf numFmtId="0" fontId="28" fillId="27" borderId="0" xfId="0" applyFont="1" applyFill="1" applyAlignment="1">
      <alignment horizontal="center" vertical="center" wrapText="1"/>
    </xf>
    <xf numFmtId="0" fontId="28" fillId="27" borderId="113"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15" xfId="0" applyFont="1" applyFill="1" applyBorder="1" applyAlignment="1">
      <alignment horizontal="center" vertical="center" wrapText="1"/>
    </xf>
    <xf numFmtId="0" fontId="28" fillId="27" borderId="116" xfId="0" applyFont="1" applyFill="1" applyBorder="1" applyAlignment="1">
      <alignment horizontal="center" vertical="center" wrapText="1"/>
    </xf>
    <xf numFmtId="0" fontId="0" fillId="0" borderId="0" xfId="0" applyAlignment="1">
      <alignment horizontal="center" vertical="center" textRotation="255" shrinkToFit="1"/>
    </xf>
    <xf numFmtId="177" fontId="22" fillId="0" borderId="274" xfId="0" applyNumberFormat="1" applyFont="1" applyBorder="1" applyAlignment="1">
      <alignment vertical="center" shrinkToFit="1"/>
    </xf>
    <xf numFmtId="177" fontId="22" fillId="0" borderId="275" xfId="0" applyNumberFormat="1" applyFont="1" applyBorder="1" applyAlignment="1">
      <alignment vertical="center" shrinkToFit="1"/>
    </xf>
    <xf numFmtId="177" fontId="24" fillId="0" borderId="187" xfId="3" applyFont="1" applyBorder="1" applyAlignment="1">
      <alignment vertical="center"/>
    </xf>
    <xf numFmtId="177" fontId="24" fillId="0" borderId="239" xfId="3" applyFont="1" applyBorder="1" applyAlignment="1">
      <alignment vertical="center"/>
    </xf>
    <xf numFmtId="177" fontId="12" fillId="0" borderId="189" xfId="3" applyFont="1" applyBorder="1" applyAlignment="1">
      <alignment vertical="center"/>
    </xf>
    <xf numFmtId="177" fontId="12" fillId="0" borderId="192" xfId="3" applyFont="1" applyBorder="1" applyAlignment="1">
      <alignment vertical="center"/>
    </xf>
    <xf numFmtId="177" fontId="22" fillId="0" borderId="60" xfId="0" applyNumberFormat="1" applyFont="1" applyBorder="1" applyAlignment="1" applyProtection="1">
      <alignment vertical="center" shrinkToFit="1"/>
      <protection locked="0"/>
    </xf>
    <xf numFmtId="177" fontId="22" fillId="0" borderId="193" xfId="0" applyNumberFormat="1" applyFont="1" applyBorder="1" applyAlignment="1" applyProtection="1">
      <alignment vertical="center" shrinkToFit="1"/>
      <protection locked="0"/>
    </xf>
    <xf numFmtId="177" fontId="22" fillId="0" borderId="235" xfId="0" applyNumberFormat="1" applyFont="1" applyBorder="1" applyAlignment="1">
      <alignment vertical="center" shrinkToFit="1"/>
    </xf>
    <xf numFmtId="177" fontId="24" fillId="0" borderId="236" xfId="3" applyFont="1" applyBorder="1" applyAlignment="1">
      <alignment vertical="center"/>
    </xf>
    <xf numFmtId="0" fontId="18" fillId="0" borderId="0" xfId="0" applyFont="1" applyAlignment="1">
      <alignment horizontal="center" vertical="center"/>
    </xf>
    <xf numFmtId="185" fontId="0" fillId="0" borderId="0" xfId="0" applyNumberFormat="1">
      <alignment vertical="center"/>
    </xf>
    <xf numFmtId="0" fontId="15" fillId="7" borderId="273" xfId="0" applyFont="1" applyFill="1" applyBorder="1" applyAlignment="1">
      <alignment horizontal="center" vertical="center" shrinkToFit="1"/>
    </xf>
    <xf numFmtId="177" fontId="22" fillId="0" borderId="99" xfId="0" applyNumberFormat="1" applyFont="1" applyBorder="1">
      <alignment vertical="center"/>
    </xf>
    <xf numFmtId="177" fontId="22" fillId="0" borderId="100" xfId="0" applyNumberFormat="1" applyFont="1" applyBorder="1">
      <alignment vertical="center"/>
    </xf>
    <xf numFmtId="177" fontId="22" fillId="0" borderId="12" xfId="0" applyNumberFormat="1" applyFont="1" applyBorder="1" applyProtection="1">
      <alignment vertical="center"/>
      <protection locked="0"/>
    </xf>
    <xf numFmtId="177" fontId="22" fillId="0" borderId="13" xfId="0" applyNumberFormat="1" applyFont="1" applyBorder="1" applyProtection="1">
      <alignment vertical="center"/>
      <protection locked="0"/>
    </xf>
    <xf numFmtId="177" fontId="22" fillId="0" borderId="252" xfId="0" applyNumberFormat="1" applyFont="1" applyBorder="1">
      <alignment vertical="center"/>
    </xf>
    <xf numFmtId="177" fontId="22" fillId="0" borderId="201" xfId="0" applyNumberFormat="1" applyFont="1" applyBorder="1">
      <alignment vertical="center"/>
    </xf>
    <xf numFmtId="0" fontId="15" fillId="7" borderId="273" xfId="0" applyFont="1" applyFill="1" applyBorder="1" applyAlignment="1">
      <alignment horizontal="center" vertical="center"/>
    </xf>
    <xf numFmtId="177" fontId="22" fillId="0" borderId="274" xfId="0" applyNumberFormat="1" applyFont="1" applyBorder="1">
      <alignment vertical="center"/>
    </xf>
    <xf numFmtId="177" fontId="22" fillId="0" borderId="275" xfId="0" applyNumberFormat="1" applyFont="1" applyBorder="1">
      <alignment vertical="center"/>
    </xf>
    <xf numFmtId="177" fontId="22" fillId="0" borderId="60" xfId="0" applyNumberFormat="1" applyFont="1" applyBorder="1" applyProtection="1">
      <alignment vertical="center"/>
      <protection locked="0"/>
    </xf>
    <xf numFmtId="177" fontId="22" fillId="0" borderId="59" xfId="0" applyNumberFormat="1" applyFont="1" applyBorder="1" applyProtection="1">
      <alignment vertical="center"/>
      <protection locked="0"/>
    </xf>
    <xf numFmtId="177" fontId="24" fillId="0" borderId="189" xfId="0" applyNumberFormat="1" applyFont="1" applyBorder="1" applyAlignment="1">
      <alignment horizontal="right" vertical="center"/>
    </xf>
    <xf numFmtId="177" fontId="24" fillId="0" borderId="190" xfId="0" applyNumberFormat="1" applyFont="1" applyBorder="1" applyAlignment="1">
      <alignment horizontal="right" vertical="center"/>
    </xf>
    <xf numFmtId="0" fontId="15" fillId="7" borderId="236" xfId="0" applyFont="1" applyFill="1" applyBorder="1" applyAlignment="1">
      <alignment horizontal="center" vertical="center"/>
    </xf>
    <xf numFmtId="177" fontId="22" fillId="0" borderId="235" xfId="0" applyNumberFormat="1" applyFont="1" applyBorder="1">
      <alignment vertical="center"/>
    </xf>
    <xf numFmtId="177" fontId="24" fillId="0" borderId="100" xfId="0" applyNumberFormat="1" applyFont="1" applyBorder="1" applyAlignment="1">
      <alignment horizontal="right" vertical="center"/>
    </xf>
    <xf numFmtId="177" fontId="24" fillId="0" borderId="192" xfId="0" applyNumberFormat="1" applyFont="1" applyBorder="1" applyAlignment="1">
      <alignment horizontal="right" vertical="center"/>
    </xf>
    <xf numFmtId="177" fontId="24" fillId="0" borderId="0" xfId="0" applyNumberFormat="1" applyFont="1" applyProtection="1">
      <alignment vertical="center"/>
      <protection locked="0"/>
    </xf>
    <xf numFmtId="177" fontId="24" fillId="0" borderId="191" xfId="0" applyNumberFormat="1" applyFont="1" applyBorder="1" applyProtection="1">
      <alignment vertical="center"/>
      <protection locked="0"/>
    </xf>
    <xf numFmtId="0" fontId="9" fillId="0" borderId="237" xfId="0" applyFont="1" applyBorder="1">
      <alignment vertical="center"/>
    </xf>
    <xf numFmtId="0" fontId="9" fillId="0" borderId="273" xfId="0" applyFont="1" applyBorder="1">
      <alignment vertical="center"/>
    </xf>
    <xf numFmtId="0" fontId="15" fillId="7" borderId="237" xfId="0" applyFont="1" applyFill="1" applyBorder="1" applyAlignment="1">
      <alignment horizontal="center" vertical="center"/>
    </xf>
    <xf numFmtId="0" fontId="15" fillId="7" borderId="238" xfId="0" applyFont="1" applyFill="1" applyBorder="1" applyAlignment="1">
      <alignment horizontal="center" vertical="center"/>
    </xf>
    <xf numFmtId="183" fontId="24" fillId="0" borderId="20" xfId="0" applyNumberFormat="1" applyFont="1" applyBorder="1" applyAlignment="1">
      <alignment vertical="center" shrinkToFit="1"/>
    </xf>
    <xf numFmtId="0" fontId="15" fillId="7" borderId="229" xfId="0" applyFont="1" applyFill="1" applyBorder="1" applyAlignment="1">
      <alignment horizontal="center" vertical="center" wrapText="1" shrinkToFit="1"/>
    </xf>
    <xf numFmtId="0" fontId="15" fillId="7" borderId="229" xfId="0" applyFont="1" applyFill="1" applyBorder="1" applyAlignment="1">
      <alignment horizontal="center" vertical="center" shrinkToFit="1"/>
    </xf>
    <xf numFmtId="178" fontId="9" fillId="0" borderId="18" xfId="0" applyNumberFormat="1" applyFont="1" applyBorder="1" applyAlignment="1">
      <alignment horizontal="left" vertical="center" shrinkToFit="1"/>
    </xf>
    <xf numFmtId="0" fontId="15" fillId="7" borderId="229" xfId="0" applyFont="1" applyFill="1" applyBorder="1" applyAlignment="1">
      <alignment horizontal="center" vertical="center" wrapText="1"/>
    </xf>
    <xf numFmtId="0" fontId="15" fillId="7" borderId="229" xfId="0" applyFont="1" applyFill="1" applyBorder="1" applyAlignment="1">
      <alignment horizontal="center" vertical="center"/>
    </xf>
    <xf numFmtId="176" fontId="24" fillId="0" borderId="252" xfId="0" applyNumberFormat="1" applyFont="1" applyBorder="1" applyAlignment="1">
      <alignment vertical="center" shrinkToFit="1"/>
    </xf>
    <xf numFmtId="176" fontId="24" fillId="0" borderId="235" xfId="0" applyNumberFormat="1" applyFont="1" applyBorder="1" applyAlignment="1">
      <alignment vertical="center" shrinkToFit="1"/>
    </xf>
    <xf numFmtId="176" fontId="24" fillId="0" borderId="272" xfId="0" applyNumberFormat="1" applyFont="1" applyBorder="1" applyAlignment="1">
      <alignment vertical="center" shrinkToFit="1"/>
    </xf>
    <xf numFmtId="178" fontId="9" fillId="0" borderId="272" xfId="0" applyNumberFormat="1" applyFont="1" applyBorder="1" applyAlignment="1">
      <alignment horizontal="left" vertical="center" shrinkToFit="1"/>
    </xf>
    <xf numFmtId="183" fontId="24" fillId="0" borderId="272" xfId="0" applyNumberFormat="1" applyFont="1" applyBorder="1" applyAlignment="1">
      <alignment vertical="center" shrinkToFit="1"/>
    </xf>
    <xf numFmtId="177" fontId="22" fillId="0" borderId="12" xfId="0" applyNumberFormat="1" applyFont="1" applyBorder="1" applyAlignment="1" applyProtection="1">
      <alignment vertical="center" shrinkToFit="1"/>
      <protection locked="0"/>
    </xf>
    <xf numFmtId="177" fontId="22" fillId="0" borderId="13" xfId="0" applyNumberFormat="1" applyFont="1" applyBorder="1" applyAlignment="1" applyProtection="1">
      <alignment vertical="center" shrinkToFit="1"/>
      <protection locked="0"/>
    </xf>
    <xf numFmtId="177" fontId="22" fillId="0" borderId="252" xfId="0" applyNumberFormat="1" applyFont="1" applyBorder="1" applyAlignment="1">
      <alignment vertical="center" shrinkToFit="1"/>
    </xf>
    <xf numFmtId="177" fontId="22" fillId="0" borderId="201" xfId="0" applyNumberFormat="1" applyFont="1" applyBorder="1" applyAlignment="1">
      <alignment vertical="center" shrinkToFit="1"/>
    </xf>
    <xf numFmtId="177" fontId="22" fillId="0" borderId="237" xfId="0" applyNumberFormat="1" applyFont="1" applyBorder="1" applyAlignment="1">
      <alignment vertical="center" shrinkToFit="1"/>
    </xf>
    <xf numFmtId="177" fontId="22" fillId="0" borderId="273" xfId="0" applyNumberFormat="1" applyFont="1" applyBorder="1" applyAlignment="1">
      <alignment vertical="center" shrinkToFit="1"/>
    </xf>
    <xf numFmtId="177" fontId="12" fillId="0" borderId="190" xfId="3" applyFont="1" applyBorder="1" applyAlignment="1">
      <alignment vertical="center"/>
    </xf>
    <xf numFmtId="177" fontId="22" fillId="0" borderId="59" xfId="0" applyNumberFormat="1" applyFont="1" applyBorder="1" applyAlignment="1" applyProtection="1">
      <alignment vertical="center" shrinkToFit="1"/>
      <protection locked="0"/>
    </xf>
    <xf numFmtId="0" fontId="7" fillId="0" borderId="26" xfId="0" applyFont="1" applyBorder="1" applyAlignment="1">
      <alignment horizontal="right" vertical="center" indent="1"/>
    </xf>
    <xf numFmtId="0" fontId="7" fillId="0" borderId="22" xfId="0" applyFont="1" applyBorder="1" applyAlignment="1">
      <alignment horizontal="right" vertical="center" indent="1"/>
    </xf>
    <xf numFmtId="0" fontId="7" fillId="0" borderId="17" xfId="0" applyFont="1" applyBorder="1" applyAlignment="1">
      <alignment horizontal="right" vertical="center" indent="1"/>
    </xf>
    <xf numFmtId="183" fontId="22" fillId="0" borderId="272" xfId="0" applyNumberFormat="1" applyFont="1" applyBorder="1">
      <alignment vertical="center"/>
    </xf>
    <xf numFmtId="0" fontId="9" fillId="0" borderId="12"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0" fontId="9" fillId="0" borderId="15" xfId="0" applyFont="1" applyBorder="1" applyAlignment="1" applyProtection="1">
      <alignment horizontal="left" vertical="center" shrinkToFit="1"/>
      <protection locked="0"/>
    </xf>
    <xf numFmtId="183" fontId="22" fillId="0" borderId="14" xfId="0" applyNumberFormat="1" applyFont="1" applyBorder="1" applyProtection="1">
      <alignment vertical="center"/>
      <protection locked="0"/>
    </xf>
    <xf numFmtId="183" fontId="22" fillId="0" borderId="12" xfId="0" applyNumberFormat="1" applyFont="1" applyBorder="1" applyProtection="1">
      <alignment vertical="center"/>
      <protection locked="0"/>
    </xf>
    <xf numFmtId="0" fontId="9" fillId="0" borderId="47" xfId="0" applyFont="1" applyBorder="1" applyAlignment="1">
      <alignment horizontal="center" vertical="center" textRotation="255" shrinkToFit="1"/>
    </xf>
    <xf numFmtId="0" fontId="9" fillId="0" borderId="271"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9" fillId="0" borderId="252" xfId="0" applyFont="1" applyBorder="1">
      <alignment vertical="center"/>
    </xf>
    <xf numFmtId="0" fontId="9" fillId="0" borderId="201" xfId="0" applyFont="1" applyBorder="1">
      <alignment vertical="center"/>
    </xf>
    <xf numFmtId="177" fontId="24" fillId="0" borderId="11" xfId="0" applyNumberFormat="1" applyFont="1" applyBorder="1" applyAlignment="1">
      <alignment vertical="center" shrinkToFit="1"/>
    </xf>
    <xf numFmtId="177" fontId="24" fillId="0" borderId="45" xfId="0" applyNumberFormat="1" applyFont="1" applyBorder="1" applyAlignment="1">
      <alignment vertical="center" shrinkToFit="1"/>
    </xf>
    <xf numFmtId="176" fontId="24" fillId="0" borderId="20" xfId="0" applyNumberFormat="1" applyFont="1" applyBorder="1" applyAlignment="1">
      <alignment vertical="center" shrinkToFit="1"/>
    </xf>
    <xf numFmtId="176" fontId="24" fillId="0" borderId="61" xfId="0" applyNumberFormat="1" applyFont="1" applyBorder="1" applyAlignment="1">
      <alignment vertical="center" shrinkToFit="1"/>
    </xf>
    <xf numFmtId="176" fontId="24" fillId="0" borderId="62" xfId="0" applyNumberFormat="1" applyFont="1" applyBorder="1" applyAlignment="1">
      <alignment vertical="center" shrinkToFit="1"/>
    </xf>
    <xf numFmtId="0" fontId="30" fillId="0" borderId="0" xfId="0" applyFont="1" applyAlignment="1">
      <alignment horizontal="center" vertical="top" shrinkToFit="1"/>
    </xf>
    <xf numFmtId="0" fontId="15" fillId="7" borderId="90" xfId="0" applyFont="1" applyFill="1" applyBorder="1" applyAlignment="1">
      <alignment horizontal="center" vertical="center"/>
    </xf>
    <xf numFmtId="0" fontId="87" fillId="0" borderId="253" xfId="0" applyFont="1" applyBorder="1" applyAlignment="1">
      <alignment horizontal="center" wrapText="1" shrinkToFit="1"/>
    </xf>
    <xf numFmtId="0" fontId="87" fillId="0" borderId="253" xfId="0" applyFont="1" applyBorder="1" applyAlignment="1">
      <alignment horizontal="center" shrinkToFit="1"/>
    </xf>
    <xf numFmtId="0" fontId="9" fillId="0" borderId="63" xfId="0" applyFont="1" applyBorder="1" applyAlignment="1">
      <alignment horizontal="center" vertical="center"/>
    </xf>
    <xf numFmtId="183" fontId="0" fillId="0" borderId="63" xfId="0" applyNumberFormat="1" applyBorder="1">
      <alignment vertical="center"/>
    </xf>
    <xf numFmtId="0" fontId="0" fillId="0" borderId="63" xfId="0" applyBorder="1">
      <alignment vertical="center"/>
    </xf>
    <xf numFmtId="183" fontId="22" fillId="0" borderId="18" xfId="0" applyNumberFormat="1" applyFont="1" applyBorder="1">
      <alignment vertical="center"/>
    </xf>
    <xf numFmtId="183" fontId="22" fillId="0" borderId="26" xfId="0" applyNumberFormat="1" applyFont="1" applyBorder="1">
      <alignment vertical="center"/>
    </xf>
    <xf numFmtId="0" fontId="8" fillId="0" borderId="0" xfId="0" applyFont="1" applyAlignment="1">
      <alignment horizontal="left" vertical="center" wrapText="1"/>
    </xf>
    <xf numFmtId="0" fontId="8" fillId="0" borderId="49" xfId="0" applyFont="1" applyBorder="1" applyAlignment="1">
      <alignment horizontal="left" vertical="center" wrapText="1"/>
    </xf>
    <xf numFmtId="0" fontId="0" fillId="8" borderId="48" xfId="0" applyFill="1" applyBorder="1" applyProtection="1">
      <alignment vertical="center"/>
      <protection locked="0"/>
    </xf>
    <xf numFmtId="177" fontId="24" fillId="0" borderId="20" xfId="0" applyNumberFormat="1" applyFont="1" applyBorder="1" applyAlignment="1" applyProtection="1">
      <alignment vertical="center" shrinkToFit="1"/>
      <protection locked="0"/>
    </xf>
    <xf numFmtId="177" fontId="24" fillId="0" borderId="272" xfId="0" applyNumberFormat="1" applyFont="1" applyBorder="1" applyAlignment="1" applyProtection="1">
      <alignment vertical="center" shrinkToFit="1"/>
      <protection locked="0"/>
    </xf>
    <xf numFmtId="0" fontId="0" fillId="8" borderId="203" xfId="0" applyFill="1" applyBorder="1" applyAlignment="1" applyProtection="1">
      <alignment vertical="top" wrapText="1"/>
      <protection locked="0"/>
    </xf>
    <xf numFmtId="0" fontId="0" fillId="8" borderId="234" xfId="0" applyFill="1" applyBorder="1" applyAlignment="1" applyProtection="1">
      <alignment vertical="top" wrapText="1"/>
      <protection locked="0"/>
    </xf>
    <xf numFmtId="0" fontId="0" fillId="8" borderId="233" xfId="0" applyFill="1" applyBorder="1" applyAlignment="1" applyProtection="1">
      <alignment vertical="top" wrapText="1"/>
      <protection locked="0"/>
    </xf>
    <xf numFmtId="0" fontId="0" fillId="8" borderId="89" xfId="0" applyFill="1" applyBorder="1" applyAlignment="1" applyProtection="1">
      <alignment vertical="top" wrapText="1"/>
      <protection locked="0"/>
    </xf>
    <xf numFmtId="0" fontId="0" fillId="8" borderId="0" xfId="0" applyFill="1" applyAlignment="1" applyProtection="1">
      <alignment vertical="top" wrapText="1"/>
      <protection locked="0"/>
    </xf>
    <xf numFmtId="0" fontId="0" fillId="8" borderId="254" xfId="0" applyFill="1" applyBorder="1" applyAlignment="1" applyProtection="1">
      <alignment vertical="top" wrapText="1"/>
      <protection locked="0"/>
    </xf>
    <xf numFmtId="0" fontId="0" fillId="8" borderId="11" xfId="0" applyFill="1" applyBorder="1" applyAlignment="1" applyProtection="1">
      <alignment vertical="top" wrapText="1"/>
      <protection locked="0"/>
    </xf>
    <xf numFmtId="0" fontId="0" fillId="8" borderId="130" xfId="0" applyFill="1" applyBorder="1" applyAlignment="1" applyProtection="1">
      <alignment vertical="top" wrapText="1"/>
      <protection locked="0"/>
    </xf>
    <xf numFmtId="0" fontId="0" fillId="8" borderId="131" xfId="0" applyFill="1" applyBorder="1" applyAlignment="1" applyProtection="1">
      <alignment vertical="top" wrapText="1"/>
      <protection locked="0"/>
    </xf>
    <xf numFmtId="0" fontId="9" fillId="0" borderId="58"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271" xfId="0" applyFont="1" applyBorder="1" applyAlignment="1" applyProtection="1">
      <alignment horizontal="center" vertical="center" shrinkToFit="1"/>
      <protection locked="0"/>
    </xf>
    <xf numFmtId="0" fontId="9" fillId="0" borderId="272" xfId="0" applyFont="1" applyBorder="1" applyAlignment="1" applyProtection="1">
      <alignment horizontal="center" vertical="center" shrinkToFit="1"/>
      <protection locked="0"/>
    </xf>
    <xf numFmtId="0" fontId="0" fillId="8" borderId="0" xfId="0" applyFill="1" applyProtection="1">
      <alignment vertical="center"/>
      <protection locked="0"/>
    </xf>
    <xf numFmtId="0" fontId="0" fillId="0" borderId="0" xfId="0" applyAlignment="1">
      <alignment horizontal="right" vertical="center"/>
    </xf>
    <xf numFmtId="177" fontId="24" fillId="0" borderId="26" xfId="0" applyNumberFormat="1" applyFont="1" applyBorder="1">
      <alignment vertical="center"/>
    </xf>
    <xf numFmtId="177" fontId="24" fillId="0" borderId="23" xfId="0" applyNumberFormat="1" applyFont="1" applyBorder="1">
      <alignment vertical="center"/>
    </xf>
    <xf numFmtId="177" fontId="24" fillId="0" borderId="252" xfId="0" applyNumberFormat="1" applyFont="1" applyBorder="1" applyAlignment="1">
      <alignment horizontal="center" vertical="center"/>
    </xf>
    <xf numFmtId="177" fontId="24" fillId="0" borderId="235" xfId="0" applyNumberFormat="1" applyFont="1" applyBorder="1" applyAlignment="1">
      <alignment horizontal="center" vertical="center"/>
    </xf>
    <xf numFmtId="177" fontId="24" fillId="0" borderId="61" xfId="0" applyNumberFormat="1" applyFont="1" applyBorder="1" applyAlignment="1">
      <alignment horizontal="right" vertical="center"/>
    </xf>
    <xf numFmtId="177" fontId="24" fillId="0" borderId="19" xfId="0" applyNumberFormat="1" applyFont="1" applyBorder="1" applyAlignment="1">
      <alignment horizontal="right" vertical="center"/>
    </xf>
    <xf numFmtId="177" fontId="24" fillId="0" borderId="252" xfId="0" applyNumberFormat="1" applyFont="1" applyBorder="1" applyAlignment="1">
      <alignment horizontal="right" vertical="center"/>
    </xf>
    <xf numFmtId="177" fontId="24" fillId="0" borderId="202" xfId="0" applyNumberFormat="1" applyFont="1" applyBorder="1" applyAlignment="1">
      <alignment horizontal="right" vertical="center"/>
    </xf>
    <xf numFmtId="177" fontId="24" fillId="0" borderId="10" xfId="0" applyNumberFormat="1" applyFont="1" applyBorder="1" applyAlignment="1">
      <alignment vertical="center" shrinkToFit="1"/>
    </xf>
    <xf numFmtId="0" fontId="27" fillId="7" borderId="229" xfId="0" applyFont="1" applyFill="1" applyBorder="1" applyAlignment="1">
      <alignment horizontal="center" vertical="center" wrapText="1" shrinkToFit="1"/>
    </xf>
    <xf numFmtId="0" fontId="27" fillId="7" borderId="229" xfId="0" applyFont="1" applyFill="1" applyBorder="1" applyAlignment="1">
      <alignment horizontal="center" vertical="center" shrinkToFit="1"/>
    </xf>
    <xf numFmtId="177" fontId="24" fillId="0" borderId="165" xfId="0" applyNumberFormat="1" applyFont="1" applyBorder="1" applyAlignment="1">
      <alignment vertical="center" shrinkToFit="1"/>
    </xf>
    <xf numFmtId="176" fontId="24" fillId="0" borderId="165" xfId="0" applyNumberFormat="1" applyFont="1" applyBorder="1">
      <alignment vertical="center"/>
    </xf>
    <xf numFmtId="0" fontId="87" fillId="0" borderId="165" xfId="0" applyFont="1" applyBorder="1" applyAlignment="1">
      <alignment horizontal="center" wrapText="1"/>
    </xf>
    <xf numFmtId="0" fontId="87" fillId="0" borderId="165" xfId="0" applyFont="1" applyBorder="1" applyAlignment="1">
      <alignment horizontal="center"/>
    </xf>
    <xf numFmtId="0" fontId="87" fillId="0" borderId="165" xfId="0" applyFont="1" applyBorder="1" applyAlignment="1">
      <alignment horizontal="center" wrapText="1" shrinkToFit="1"/>
    </xf>
    <xf numFmtId="0" fontId="87" fillId="0" borderId="165" xfId="0" applyFont="1" applyBorder="1" applyAlignment="1">
      <alignment horizontal="center" shrinkToFit="1"/>
    </xf>
    <xf numFmtId="0" fontId="9" fillId="0" borderId="231" xfId="0" applyFont="1" applyBorder="1" applyAlignment="1">
      <alignment horizontal="center" vertical="center" shrinkToFit="1"/>
    </xf>
    <xf numFmtId="0" fontId="9" fillId="0" borderId="276" xfId="0" applyFont="1" applyBorder="1" applyAlignment="1">
      <alignment horizontal="center" vertical="center" shrinkToFit="1"/>
    </xf>
    <xf numFmtId="0" fontId="9" fillId="0" borderId="141" xfId="0" applyFont="1" applyBorder="1" applyAlignment="1">
      <alignment horizontal="center" vertical="center" shrinkToFit="1"/>
    </xf>
    <xf numFmtId="0" fontId="9" fillId="0" borderId="131" xfId="0" applyFont="1" applyBorder="1" applyAlignment="1">
      <alignment horizontal="center" vertical="center" shrinkToFit="1"/>
    </xf>
    <xf numFmtId="0" fontId="9" fillId="0" borderId="233" xfId="0" applyFont="1" applyBorder="1" applyAlignment="1">
      <alignment horizontal="center" vertical="center" shrinkToFit="1"/>
    </xf>
    <xf numFmtId="0" fontId="0" fillId="0" borderId="271" xfId="0" applyBorder="1" applyAlignment="1">
      <alignment horizontal="center" vertical="center" wrapText="1"/>
    </xf>
    <xf numFmtId="0" fontId="0" fillId="0" borderId="272" xfId="0" applyBorder="1" applyAlignment="1">
      <alignment horizontal="center" vertical="center"/>
    </xf>
    <xf numFmtId="180" fontId="14" fillId="0" borderId="194" xfId="0" applyNumberFormat="1" applyFont="1" applyBorder="1">
      <alignment vertical="center"/>
    </xf>
    <xf numFmtId="180" fontId="14" fillId="0" borderId="252" xfId="0" applyNumberFormat="1" applyFont="1" applyBorder="1">
      <alignment vertical="center"/>
    </xf>
    <xf numFmtId="0" fontId="0" fillId="0" borderId="231" xfId="0" applyBorder="1" applyAlignment="1">
      <alignment horizontal="center" vertical="center" shrinkToFit="1"/>
    </xf>
    <xf numFmtId="0" fontId="0" fillId="0" borderId="233" xfId="0" applyBorder="1" applyAlignment="1">
      <alignment horizontal="center" vertical="center" shrinkToFit="1"/>
    </xf>
    <xf numFmtId="0" fontId="0" fillId="0" borderId="271" xfId="0" applyBorder="1" applyAlignment="1">
      <alignment horizontal="center" vertical="center"/>
    </xf>
    <xf numFmtId="183" fontId="22" fillId="0" borderId="252" xfId="0" applyNumberFormat="1" applyFont="1" applyBorder="1">
      <alignment vertical="center"/>
    </xf>
    <xf numFmtId="0" fontId="7" fillId="0" borderId="99" xfId="0" applyFont="1" applyBorder="1" applyAlignment="1">
      <alignment horizontal="right" vertical="center" indent="1"/>
    </xf>
    <xf numFmtId="0" fontId="7" fillId="0" borderId="100" xfId="0" applyFont="1" applyBorder="1" applyAlignment="1">
      <alignment horizontal="right" vertical="center" indent="1"/>
    </xf>
    <xf numFmtId="0" fontId="7" fillId="0" borderId="121" xfId="0" applyFont="1" applyBorder="1" applyAlignment="1">
      <alignment horizontal="right" vertical="center" indent="1"/>
    </xf>
    <xf numFmtId="180" fontId="14" fillId="0" borderId="10" xfId="0" applyNumberFormat="1" applyFont="1" applyBorder="1">
      <alignment vertical="center"/>
    </xf>
    <xf numFmtId="180" fontId="14" fillId="0" borderId="11" xfId="0" applyNumberFormat="1" applyFont="1" applyBorder="1">
      <alignment vertical="center"/>
    </xf>
    <xf numFmtId="183" fontId="22" fillId="0" borderId="15" xfId="0" applyNumberFormat="1" applyFont="1" applyBorder="1" applyProtection="1">
      <alignment vertical="center"/>
      <protection locked="0"/>
    </xf>
    <xf numFmtId="0" fontId="9" fillId="0" borderId="252" xfId="0" applyFont="1" applyBorder="1" applyAlignment="1">
      <alignment horizontal="left" vertical="center"/>
    </xf>
    <xf numFmtId="0" fontId="9" fillId="0" borderId="201" xfId="0" applyFont="1" applyBorder="1" applyAlignment="1">
      <alignment horizontal="left" vertical="center"/>
    </xf>
    <xf numFmtId="178" fontId="9" fillId="0" borderId="12" xfId="0" applyNumberFormat="1" applyFont="1" applyBorder="1" applyAlignment="1" applyProtection="1">
      <alignment horizontal="left" vertical="center" shrinkToFit="1"/>
      <protection locked="0"/>
    </xf>
    <xf numFmtId="178" fontId="9" fillId="0" borderId="13" xfId="0" applyNumberFormat="1" applyFont="1" applyBorder="1" applyAlignment="1" applyProtection="1">
      <alignment horizontal="left" vertical="center" shrinkToFit="1"/>
      <protection locked="0"/>
    </xf>
    <xf numFmtId="178" fontId="9" fillId="0" borderId="15" xfId="0" applyNumberFormat="1" applyFont="1" applyBorder="1" applyAlignment="1" applyProtection="1">
      <alignment horizontal="left" vertical="center" shrinkToFit="1"/>
      <protection locked="0"/>
    </xf>
    <xf numFmtId="183" fontId="22" fillId="0" borderId="229" xfId="0" applyNumberFormat="1" applyFont="1" applyBorder="1">
      <alignment vertical="center"/>
    </xf>
    <xf numFmtId="181" fontId="14" fillId="0" borderId="252" xfId="0" applyNumberFormat="1" applyFont="1" applyBorder="1">
      <alignment vertical="center"/>
    </xf>
    <xf numFmtId="181" fontId="14" fillId="0" borderId="201" xfId="0" applyNumberFormat="1" applyFont="1" applyBorder="1">
      <alignment vertical="center"/>
    </xf>
    <xf numFmtId="180" fontId="14" fillId="0" borderId="201" xfId="0" applyNumberFormat="1" applyFont="1" applyBorder="1">
      <alignment vertical="center"/>
    </xf>
    <xf numFmtId="0" fontId="20" fillId="7" borderId="166" xfId="0" applyFont="1" applyFill="1" applyBorder="1" applyAlignment="1">
      <alignment horizontal="center" vertical="center"/>
    </xf>
    <xf numFmtId="0" fontId="20" fillId="7" borderId="63" xfId="0" applyFont="1" applyFill="1" applyBorder="1" applyAlignment="1">
      <alignment horizontal="center" vertical="center"/>
    </xf>
    <xf numFmtId="0" fontId="20" fillId="7" borderId="64" xfId="0" applyFont="1" applyFill="1" applyBorder="1" applyAlignment="1">
      <alignment horizontal="center" vertical="center"/>
    </xf>
    <xf numFmtId="0" fontId="29" fillId="8" borderId="1"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protection locked="0"/>
    </xf>
    <xf numFmtId="0" fontId="20" fillId="7" borderId="47" xfId="0" applyFont="1" applyFill="1" applyBorder="1" applyAlignment="1">
      <alignment horizontal="center" vertical="center"/>
    </xf>
    <xf numFmtId="0" fontId="20" fillId="7" borderId="229" xfId="0" applyFont="1" applyFill="1" applyBorder="1" applyAlignment="1">
      <alignment horizontal="center" vertical="center"/>
    </xf>
    <xf numFmtId="0" fontId="20" fillId="7" borderId="230" xfId="0" applyFont="1" applyFill="1" applyBorder="1" applyAlignment="1">
      <alignment horizontal="center" vertical="center"/>
    </xf>
    <xf numFmtId="0" fontId="84" fillId="0" borderId="22" xfId="0" applyFont="1" applyBorder="1" applyAlignment="1">
      <alignment wrapText="1"/>
    </xf>
    <xf numFmtId="0" fontId="0" fillId="0" borderId="231" xfId="0" applyBorder="1" applyAlignment="1">
      <alignment horizontal="center" vertical="center"/>
    </xf>
    <xf numFmtId="0" fontId="0" fillId="0" borderId="234" xfId="0" applyBorder="1">
      <alignment vertical="center"/>
    </xf>
    <xf numFmtId="0" fontId="0" fillId="0" borderId="46" xfId="0" applyBorder="1" applyAlignment="1">
      <alignment horizontal="center" vertical="center"/>
    </xf>
    <xf numFmtId="0" fontId="0" fillId="0" borderId="10" xfId="0" applyBorder="1" applyAlignment="1">
      <alignment horizontal="center" vertical="center"/>
    </xf>
    <xf numFmtId="0" fontId="3" fillId="0" borderId="0" xfId="4" applyFont="1" applyAlignment="1">
      <alignment vertical="top"/>
    </xf>
    <xf numFmtId="0" fontId="6" fillId="0" borderId="0" xfId="4" applyAlignment="1">
      <alignment vertical="top"/>
    </xf>
    <xf numFmtId="0" fontId="72" fillId="13" borderId="89" xfId="4" applyFont="1" applyFill="1" applyBorder="1">
      <alignment vertical="center"/>
    </xf>
    <xf numFmtId="0" fontId="72" fillId="13" borderId="0" xfId="4" applyFont="1" applyFill="1">
      <alignment vertical="center"/>
    </xf>
    <xf numFmtId="195" fontId="6" fillId="0" borderId="0" xfId="4" applyNumberFormat="1" applyAlignment="1">
      <alignment horizontal="center" vertical="center"/>
    </xf>
    <xf numFmtId="0" fontId="74" fillId="0" borderId="234" xfId="4" applyFont="1" applyBorder="1" applyAlignment="1">
      <alignment horizontal="center" vertical="center" shrinkToFit="1"/>
    </xf>
    <xf numFmtId="180" fontId="75" fillId="0" borderId="0" xfId="4" applyNumberFormat="1" applyFont="1" applyAlignment="1">
      <alignment horizontal="right" vertical="center"/>
    </xf>
    <xf numFmtId="0" fontId="6" fillId="0" borderId="234" xfId="4" applyBorder="1">
      <alignment vertical="center"/>
    </xf>
    <xf numFmtId="0" fontId="6" fillId="0" borderId="233" xfId="4" applyBorder="1">
      <alignment vertical="center"/>
    </xf>
    <xf numFmtId="0" fontId="6" fillId="13" borderId="254" xfId="4" applyFill="1" applyBorder="1">
      <alignment vertical="center"/>
    </xf>
    <xf numFmtId="0" fontId="6" fillId="34" borderId="254" xfId="4" applyFill="1" applyBorder="1">
      <alignment vertical="center"/>
    </xf>
    <xf numFmtId="0" fontId="75" fillId="0" borderId="234" xfId="4" applyFont="1" applyBorder="1" applyAlignment="1">
      <alignment horizontal="center" vertical="center"/>
    </xf>
    <xf numFmtId="0" fontId="76" fillId="0" borderId="234" xfId="4" applyFont="1" applyBorder="1" applyAlignment="1">
      <alignment horizontal="center" vertical="center"/>
    </xf>
    <xf numFmtId="0" fontId="3" fillId="0" borderId="130" xfId="4" applyFont="1" applyBorder="1" applyAlignment="1" applyProtection="1">
      <alignment horizontal="center" vertical="center"/>
      <protection locked="0"/>
    </xf>
    <xf numFmtId="0" fontId="6" fillId="0" borderId="130" xfId="4" applyBorder="1" applyAlignment="1" applyProtection="1">
      <alignment horizontal="center" vertical="center"/>
      <protection locked="0"/>
    </xf>
    <xf numFmtId="0" fontId="72" fillId="13" borderId="254" xfId="4" applyFont="1" applyFill="1" applyBorder="1">
      <alignment vertical="center"/>
    </xf>
    <xf numFmtId="0" fontId="72" fillId="30" borderId="89" xfId="4" applyFont="1" applyFill="1" applyBorder="1">
      <alignment vertical="center"/>
    </xf>
    <xf numFmtId="0" fontId="72" fillId="30" borderId="0" xfId="4" applyFont="1" applyFill="1">
      <alignment vertical="center"/>
    </xf>
    <xf numFmtId="0" fontId="112" fillId="62" borderId="0" xfId="4" applyFont="1" applyFill="1" applyAlignment="1">
      <alignment horizontal="center" vertical="center"/>
    </xf>
    <xf numFmtId="0" fontId="3" fillId="0" borderId="0" xfId="4" applyFont="1" applyAlignment="1">
      <alignment horizontal="center" vertical="center" shrinkToFit="1"/>
    </xf>
    <xf numFmtId="0" fontId="3" fillId="0" borderId="130" xfId="4" applyFont="1" applyBorder="1">
      <alignment vertical="center"/>
    </xf>
    <xf numFmtId="0" fontId="3" fillId="0" borderId="131" xfId="4" applyFont="1" applyBorder="1">
      <alignment vertical="center"/>
    </xf>
    <xf numFmtId="0" fontId="6" fillId="30" borderId="254" xfId="4" applyFill="1" applyBorder="1">
      <alignment vertical="center"/>
    </xf>
    <xf numFmtId="180" fontId="3" fillId="0" borderId="90" xfId="4" applyNumberFormat="1" applyFont="1" applyBorder="1" applyAlignment="1">
      <alignment horizontal="center" vertical="center"/>
    </xf>
    <xf numFmtId="180" fontId="3" fillId="0" borderId="236" xfId="4" applyNumberFormat="1" applyFont="1" applyBorder="1" applyAlignment="1">
      <alignment horizontal="center" vertical="center"/>
    </xf>
    <xf numFmtId="0" fontId="72" fillId="0" borderId="0" xfId="4" applyFont="1" applyAlignment="1">
      <alignment horizontal="center" vertical="center"/>
    </xf>
    <xf numFmtId="0" fontId="3" fillId="35" borderId="252" xfId="4" applyFont="1" applyFill="1" applyBorder="1" applyAlignment="1">
      <alignment horizontal="center" vertical="center"/>
    </xf>
    <xf numFmtId="0" fontId="3" fillId="35" borderId="201" xfId="4" applyFont="1" applyFill="1" applyBorder="1" applyAlignment="1">
      <alignment horizontal="center" vertical="center"/>
    </xf>
    <xf numFmtId="0" fontId="72" fillId="0" borderId="89" xfId="4" applyFont="1" applyBorder="1">
      <alignment vertical="center"/>
    </xf>
    <xf numFmtId="0" fontId="72" fillId="0" borderId="254" xfId="4" applyFont="1" applyBorder="1">
      <alignment vertical="center"/>
    </xf>
    <xf numFmtId="0" fontId="72" fillId="0" borderId="11" xfId="4" applyFont="1" applyBorder="1">
      <alignment vertical="center"/>
    </xf>
    <xf numFmtId="0" fontId="72" fillId="0" borderId="131" xfId="4" applyFont="1" applyBorder="1">
      <alignment vertical="center"/>
    </xf>
    <xf numFmtId="0" fontId="72" fillId="34" borderId="89" xfId="4" applyFont="1" applyFill="1" applyBorder="1">
      <alignment vertical="center"/>
    </xf>
    <xf numFmtId="0" fontId="72" fillId="34" borderId="0" xfId="4" applyFont="1" applyFill="1">
      <alignment vertical="center"/>
    </xf>
    <xf numFmtId="0" fontId="3" fillId="35" borderId="203" xfId="4" applyFont="1" applyFill="1" applyBorder="1" applyAlignment="1">
      <alignment horizontal="center" vertical="center"/>
    </xf>
    <xf numFmtId="0" fontId="3" fillId="35" borderId="233" xfId="4" applyFont="1" applyFill="1" applyBorder="1" applyAlignment="1">
      <alignment horizontal="center" vertical="center"/>
    </xf>
    <xf numFmtId="0" fontId="6" fillId="0" borderId="0" xfId="4" applyAlignment="1">
      <alignment horizontal="left" vertical="center"/>
    </xf>
    <xf numFmtId="0" fontId="6" fillId="0" borderId="253" xfId="4" applyBorder="1" applyAlignment="1">
      <alignment horizontal="center" vertical="center" textRotation="255"/>
    </xf>
    <xf numFmtId="0" fontId="6" fillId="0" borderId="10" xfId="4" applyBorder="1" applyAlignment="1">
      <alignment horizontal="center" vertical="center" textRotation="255"/>
    </xf>
    <xf numFmtId="0" fontId="71" fillId="36" borderId="254" xfId="4" applyFont="1" applyFill="1" applyBorder="1" applyAlignment="1">
      <alignment horizontal="center" vertical="center" textRotation="255"/>
    </xf>
    <xf numFmtId="0" fontId="71" fillId="36" borderId="0" xfId="4" applyFont="1" applyFill="1" applyAlignment="1">
      <alignment horizontal="center" vertical="center" textRotation="255"/>
    </xf>
    <xf numFmtId="0" fontId="72" fillId="0" borderId="203" xfId="4" applyFont="1" applyBorder="1" applyAlignment="1">
      <alignment horizontal="center" vertical="center" textRotation="255"/>
    </xf>
    <xf numFmtId="0" fontId="72" fillId="0" borderId="89" xfId="4" applyFont="1" applyBorder="1" applyAlignment="1">
      <alignment horizontal="center" vertical="center" textRotation="255"/>
    </xf>
    <xf numFmtId="0" fontId="72" fillId="0" borderId="11" xfId="4" applyFont="1" applyBorder="1" applyAlignment="1">
      <alignment horizontal="center" vertical="center" textRotation="255"/>
    </xf>
    <xf numFmtId="0" fontId="72" fillId="13" borderId="203" xfId="4" applyFont="1" applyFill="1" applyBorder="1">
      <alignment vertical="center"/>
    </xf>
    <xf numFmtId="0" fontId="72" fillId="13" borderId="234" xfId="4" applyFont="1" applyFill="1" applyBorder="1">
      <alignment vertical="center"/>
    </xf>
    <xf numFmtId="0" fontId="72" fillId="13" borderId="11" xfId="4" applyFont="1" applyFill="1" applyBorder="1">
      <alignment vertical="center"/>
    </xf>
    <xf numFmtId="0" fontId="72" fillId="13" borderId="130" xfId="4" applyFont="1" applyFill="1" applyBorder="1">
      <alignment vertical="center"/>
    </xf>
    <xf numFmtId="0" fontId="72" fillId="0" borderId="253" xfId="4" applyFont="1" applyBorder="1" applyAlignment="1">
      <alignment horizontal="center" vertical="center" textRotation="255"/>
    </xf>
    <xf numFmtId="0" fontId="72" fillId="0" borderId="165" xfId="4" applyFont="1" applyBorder="1" applyAlignment="1">
      <alignment horizontal="center" vertical="center" textRotation="255"/>
    </xf>
    <xf numFmtId="0" fontId="72" fillId="0" borderId="10" xfId="4" applyFont="1" applyBorder="1" applyAlignment="1">
      <alignment horizontal="center" vertical="center" textRotation="255"/>
    </xf>
    <xf numFmtId="180" fontId="94" fillId="0" borderId="277" xfId="6" applyNumberFormat="1" applyBorder="1" applyAlignment="1">
      <alignment horizontal="center" vertical="center"/>
    </xf>
    <xf numFmtId="180" fontId="94" fillId="0" borderId="201" xfId="6" applyNumberFormat="1" applyBorder="1" applyAlignment="1">
      <alignment horizontal="center" vertical="center"/>
    </xf>
    <xf numFmtId="180" fontId="94" fillId="0" borderId="235" xfId="6" applyNumberFormat="1" applyBorder="1" applyAlignment="1">
      <alignment horizontal="center" vertical="center"/>
    </xf>
    <xf numFmtId="180" fontId="94" fillId="0" borderId="277" xfId="6" applyNumberFormat="1" applyBorder="1" applyAlignment="1">
      <alignment horizontal="center" vertical="center" wrapText="1"/>
    </xf>
    <xf numFmtId="180" fontId="94" fillId="0" borderId="201" xfId="6" applyNumberFormat="1" applyBorder="1" applyAlignment="1">
      <alignment horizontal="center" vertical="center" wrapText="1"/>
    </xf>
    <xf numFmtId="180" fontId="94" fillId="0" borderId="235" xfId="6" applyNumberFormat="1" applyBorder="1" applyAlignment="1">
      <alignment horizontal="center" vertical="center" wrapText="1"/>
    </xf>
    <xf numFmtId="180" fontId="94" fillId="0" borderId="58" xfId="6" applyNumberFormat="1" applyBorder="1" applyAlignment="1">
      <alignment horizontal="center" vertical="center"/>
    </xf>
    <xf numFmtId="180" fontId="94" fillId="0" borderId="175" xfId="6" applyNumberFormat="1" applyBorder="1" applyAlignment="1">
      <alignment horizontal="center" vertical="center"/>
    </xf>
    <xf numFmtId="180" fontId="94" fillId="0" borderId="62" xfId="6" applyNumberFormat="1" applyBorder="1" applyAlignment="1">
      <alignment horizontal="center" vertical="center"/>
    </xf>
    <xf numFmtId="0" fontId="94" fillId="0" borderId="272" xfId="6" applyBorder="1" applyAlignment="1">
      <alignment horizontal="center" vertical="center"/>
    </xf>
    <xf numFmtId="0" fontId="94" fillId="0" borderId="176" xfId="6" applyBorder="1" applyAlignment="1">
      <alignment horizontal="center" vertical="center"/>
    </xf>
    <xf numFmtId="180" fontId="94" fillId="0" borderId="141" xfId="6" applyNumberFormat="1" applyBorder="1" applyAlignment="1">
      <alignment horizontal="center" vertical="center" wrapText="1"/>
    </xf>
    <xf numFmtId="180" fontId="94" fillId="0" borderId="130" xfId="6" applyNumberFormat="1" applyBorder="1" applyAlignment="1">
      <alignment horizontal="center" vertical="center" wrapText="1"/>
    </xf>
    <xf numFmtId="180" fontId="94" fillId="0" borderId="45" xfId="6" applyNumberFormat="1" applyBorder="1" applyAlignment="1">
      <alignment horizontal="center" vertical="center" wrapText="1"/>
    </xf>
    <xf numFmtId="180" fontId="101" fillId="0" borderId="203" xfId="6" applyNumberFormat="1" applyFont="1" applyBorder="1" applyAlignment="1">
      <alignment horizontal="center" vertical="center"/>
    </xf>
    <xf numFmtId="180" fontId="101" fillId="0" borderId="234" xfId="6" applyNumberFormat="1" applyFont="1" applyBorder="1" applyAlignment="1">
      <alignment horizontal="center" vertical="center"/>
    </xf>
    <xf numFmtId="180" fontId="101" fillId="0" borderId="11" xfId="6" applyNumberFormat="1" applyFont="1" applyBorder="1" applyAlignment="1">
      <alignment horizontal="center" vertical="center"/>
    </xf>
    <xf numFmtId="180" fontId="101" fillId="0" borderId="130" xfId="6" applyNumberFormat="1" applyFont="1" applyBorder="1" applyAlignment="1">
      <alignment horizontal="center" vertical="center"/>
    </xf>
    <xf numFmtId="0" fontId="101" fillId="0" borderId="233" xfId="6" applyFont="1" applyBorder="1" applyAlignment="1">
      <alignment horizontal="center"/>
    </xf>
    <xf numFmtId="0" fontId="101" fillId="0" borderId="131" xfId="6" applyFont="1" applyBorder="1" applyAlignment="1">
      <alignment horizontal="center"/>
    </xf>
    <xf numFmtId="0" fontId="94" fillId="0" borderId="166" xfId="6" applyBorder="1" applyAlignment="1">
      <alignment horizontal="center" vertical="center"/>
    </xf>
    <xf numFmtId="0" fontId="94" fillId="0" borderId="63" xfId="6" applyBorder="1" applyAlignment="1">
      <alignment horizontal="center" vertical="center"/>
    </xf>
    <xf numFmtId="0" fontId="94" fillId="0" borderId="64" xfId="6" applyBorder="1" applyAlignment="1">
      <alignment horizontal="center" vertical="center"/>
    </xf>
    <xf numFmtId="0" fontId="94" fillId="0" borderId="138" xfId="6" applyBorder="1" applyAlignment="1">
      <alignment horizontal="center" vertical="center"/>
    </xf>
    <xf numFmtId="0" fontId="94" fillId="0" borderId="0" xfId="6" applyAlignment="1">
      <alignment horizontal="center" vertical="center"/>
    </xf>
    <xf numFmtId="0" fontId="94" fillId="0" borderId="38" xfId="6" applyBorder="1" applyAlignment="1">
      <alignment horizontal="center" vertical="center"/>
    </xf>
    <xf numFmtId="0" fontId="94" fillId="0" borderId="21" xfId="6" applyBorder="1" applyAlignment="1">
      <alignment horizontal="center" vertical="center"/>
    </xf>
    <xf numFmtId="0" fontId="94" fillId="0" borderId="22" xfId="6" applyBorder="1" applyAlignment="1">
      <alignment horizontal="center" vertical="center"/>
    </xf>
    <xf numFmtId="0" fontId="94" fillId="0" borderId="23" xfId="6" applyBorder="1" applyAlignment="1">
      <alignment horizontal="center" vertical="center"/>
    </xf>
    <xf numFmtId="0" fontId="95" fillId="0" borderId="63" xfId="6" applyFont="1" applyBorder="1" applyAlignment="1">
      <alignment horizontal="center" vertical="center"/>
    </xf>
    <xf numFmtId="0" fontId="95" fillId="0" borderId="64" xfId="6" applyFont="1" applyBorder="1" applyAlignment="1">
      <alignment horizontal="center" vertical="center"/>
    </xf>
    <xf numFmtId="0" fontId="95" fillId="0" borderId="0" xfId="6" applyFont="1" applyAlignment="1">
      <alignment horizontal="center" vertical="center"/>
    </xf>
    <xf numFmtId="0" fontId="95" fillId="0" borderId="38" xfId="6" applyFont="1" applyBorder="1" applyAlignment="1">
      <alignment horizontal="center" vertical="center"/>
    </xf>
    <xf numFmtId="0" fontId="95" fillId="0" borderId="22" xfId="6" applyFont="1" applyBorder="1" applyAlignment="1">
      <alignment horizontal="center" vertical="center"/>
    </xf>
    <xf numFmtId="0" fontId="95" fillId="0" borderId="23" xfId="6" applyFont="1" applyBorder="1" applyAlignment="1">
      <alignment horizontal="center" vertical="center"/>
    </xf>
    <xf numFmtId="0" fontId="107" fillId="0" borderId="0" xfId="6" applyFont="1" applyAlignment="1">
      <alignment horizontal="center" vertical="center"/>
    </xf>
    <xf numFmtId="0" fontId="106" fillId="0" borderId="1" xfId="6" applyFont="1" applyBorder="1" applyAlignment="1">
      <alignment horizontal="center" vertical="center"/>
    </xf>
    <xf numFmtId="0" fontId="99" fillId="0" borderId="33" xfId="6" applyFont="1" applyBorder="1" applyAlignment="1">
      <alignment horizontal="center" vertical="center"/>
    </xf>
    <xf numFmtId="0" fontId="99" fillId="0" borderId="157" xfId="6" applyFont="1" applyBorder="1" applyAlignment="1">
      <alignment horizontal="center" vertical="center"/>
    </xf>
    <xf numFmtId="0" fontId="99" fillId="0" borderId="34" xfId="6" applyFont="1" applyBorder="1" applyAlignment="1">
      <alignment horizontal="center" vertical="center"/>
    </xf>
    <xf numFmtId="14" fontId="100" fillId="0" borderId="33" xfId="6" applyNumberFormat="1" applyFont="1" applyBorder="1" applyAlignment="1">
      <alignment horizontal="center" vertical="center"/>
    </xf>
    <xf numFmtId="0" fontId="100" fillId="0" borderId="157" xfId="6" applyFont="1" applyBorder="1" applyAlignment="1">
      <alignment horizontal="center" vertical="center"/>
    </xf>
    <xf numFmtId="0" fontId="100" fillId="0" borderId="34" xfId="6" applyFont="1" applyBorder="1" applyAlignment="1">
      <alignment horizontal="center" vertical="center"/>
    </xf>
    <xf numFmtId="180" fontId="101" fillId="0" borderId="178" xfId="6" applyNumberFormat="1" applyFont="1" applyBorder="1" applyAlignment="1">
      <alignment horizontal="center" vertical="center"/>
    </xf>
    <xf numFmtId="180" fontId="101" fillId="0" borderId="171" xfId="6" applyNumberFormat="1" applyFont="1" applyBorder="1" applyAlignment="1">
      <alignment horizontal="center" vertical="center"/>
    </xf>
    <xf numFmtId="0" fontId="101" fillId="0" borderId="177" xfId="6" applyFont="1" applyBorder="1" applyAlignment="1">
      <alignment horizontal="center"/>
    </xf>
    <xf numFmtId="0" fontId="98" fillId="0" borderId="33" xfId="6" applyFont="1" applyBorder="1" applyAlignment="1">
      <alignment horizontal="left" vertical="top"/>
    </xf>
    <xf numFmtId="0" fontId="97" fillId="0" borderId="157" xfId="6" applyFont="1" applyBorder="1" applyAlignment="1">
      <alignment horizontal="left" vertical="top"/>
    </xf>
    <xf numFmtId="0" fontId="97" fillId="0" borderId="34" xfId="6" applyFont="1" applyBorder="1" applyAlignment="1">
      <alignment horizontal="left" vertical="top"/>
    </xf>
    <xf numFmtId="0" fontId="98" fillId="0" borderId="157" xfId="6" applyFont="1" applyBorder="1" applyAlignment="1">
      <alignment horizontal="left" vertical="top"/>
    </xf>
    <xf numFmtId="0" fontId="95" fillId="0" borderId="33" xfId="6" applyFont="1" applyBorder="1" applyAlignment="1">
      <alignment horizontal="center" vertical="center"/>
    </xf>
    <xf numFmtId="0" fontId="95" fillId="0" borderId="157" xfId="6" applyFont="1" applyBorder="1" applyAlignment="1">
      <alignment horizontal="center" vertical="center"/>
    </xf>
    <xf numFmtId="0" fontId="95" fillId="0" borderId="34" xfId="6" applyFont="1" applyBorder="1" applyAlignment="1">
      <alignment horizontal="center" vertical="center"/>
    </xf>
    <xf numFmtId="0" fontId="99" fillId="0" borderId="272" xfId="6" applyFont="1" applyBorder="1" applyAlignment="1">
      <alignment horizontal="center" vertical="center"/>
    </xf>
    <xf numFmtId="0" fontId="101" fillId="0" borderId="253" xfId="6" applyFont="1" applyBorder="1" applyAlignment="1">
      <alignment horizontal="center" vertical="center"/>
    </xf>
    <xf numFmtId="0" fontId="101" fillId="0" borderId="10" xfId="6" applyFont="1" applyBorder="1" applyAlignment="1">
      <alignment horizontal="center" vertical="center"/>
    </xf>
    <xf numFmtId="0" fontId="93" fillId="0" borderId="203" xfId="6" applyFont="1" applyBorder="1" applyAlignment="1">
      <alignment horizontal="distributed" vertical="center" shrinkToFit="1"/>
    </xf>
    <xf numFmtId="0" fontId="101" fillId="0" borderId="234" xfId="6" applyFont="1" applyBorder="1" applyAlignment="1">
      <alignment horizontal="distributed" vertical="center" shrinkToFit="1"/>
    </xf>
    <xf numFmtId="0" fontId="101" fillId="0" borderId="233" xfId="6" applyFont="1" applyBorder="1" applyAlignment="1">
      <alignment horizontal="distributed" vertical="center" shrinkToFit="1"/>
    </xf>
    <xf numFmtId="0" fontId="101" fillId="0" borderId="11" xfId="6" applyFont="1" applyBorder="1" applyAlignment="1">
      <alignment horizontal="distributed" vertical="center" shrinkToFit="1"/>
    </xf>
    <xf numFmtId="0" fontId="101" fillId="0" borderId="130" xfId="6" applyFont="1" applyBorder="1" applyAlignment="1">
      <alignment horizontal="distributed" vertical="center" shrinkToFit="1"/>
    </xf>
    <xf numFmtId="0" fontId="101" fillId="0" borderId="131" xfId="6" applyFont="1" applyBorder="1" applyAlignment="1">
      <alignment horizontal="distributed" vertical="center" shrinkToFit="1"/>
    </xf>
    <xf numFmtId="180" fontId="102" fillId="0" borderId="203" xfId="6" applyNumberFormat="1" applyFont="1" applyBorder="1" applyAlignment="1">
      <alignment horizontal="center" vertical="center"/>
    </xf>
    <xf numFmtId="0" fontId="101" fillId="0" borderId="203" xfId="6" applyFont="1" applyBorder="1" applyAlignment="1">
      <alignment horizontal="center" vertical="center" shrinkToFit="1"/>
    </xf>
    <xf numFmtId="0" fontId="101" fillId="0" borderId="234" xfId="6" applyFont="1" applyBorder="1" applyAlignment="1">
      <alignment horizontal="center" vertical="center" shrinkToFit="1"/>
    </xf>
    <xf numFmtId="0" fontId="101" fillId="0" borderId="233" xfId="6" applyFont="1" applyBorder="1" applyAlignment="1">
      <alignment horizontal="center" vertical="center" shrinkToFit="1"/>
    </xf>
    <xf numFmtId="0" fontId="101" fillId="0" borderId="11" xfId="6" applyFont="1" applyBorder="1" applyAlignment="1">
      <alignment horizontal="center" vertical="center" shrinkToFit="1"/>
    </xf>
    <xf numFmtId="0" fontId="101" fillId="0" borderId="130" xfId="6" applyFont="1" applyBorder="1" applyAlignment="1">
      <alignment horizontal="center" vertical="center" shrinkToFit="1"/>
    </xf>
    <xf numFmtId="0" fontId="101" fillId="0" borderId="131" xfId="6" applyFont="1" applyBorder="1" applyAlignment="1">
      <alignment horizontal="center" vertical="center" shrinkToFit="1"/>
    </xf>
    <xf numFmtId="0" fontId="101" fillId="0" borderId="203" xfId="6" applyFont="1" applyBorder="1" applyAlignment="1">
      <alignment horizontal="distributed" vertical="center" shrinkToFit="1"/>
    </xf>
    <xf numFmtId="180" fontId="102" fillId="0" borderId="203" xfId="7" applyNumberFormat="1" applyFont="1" applyBorder="1" applyAlignment="1">
      <alignment horizontal="center" vertical="center" shrinkToFit="1"/>
    </xf>
    <xf numFmtId="180" fontId="101" fillId="0" borderId="234" xfId="7" applyNumberFormat="1" applyFont="1" applyBorder="1" applyAlignment="1">
      <alignment horizontal="center" vertical="center" shrinkToFit="1"/>
    </xf>
    <xf numFmtId="180" fontId="101" fillId="0" borderId="11" xfId="7" applyNumberFormat="1" applyFont="1" applyBorder="1" applyAlignment="1">
      <alignment horizontal="center" vertical="center" shrinkToFit="1"/>
    </xf>
    <xf numFmtId="180" fontId="101" fillId="0" borderId="130" xfId="7" applyNumberFormat="1" applyFont="1" applyBorder="1" applyAlignment="1">
      <alignment horizontal="center" vertical="center" shrinkToFit="1"/>
    </xf>
    <xf numFmtId="10" fontId="101" fillId="60" borderId="234" xfId="6" applyNumberFormat="1" applyFont="1" applyFill="1" applyBorder="1" applyAlignment="1">
      <alignment horizontal="center" vertical="center" shrinkToFit="1"/>
    </xf>
    <xf numFmtId="10" fontId="101" fillId="60" borderId="233" xfId="6" applyNumberFormat="1" applyFont="1" applyFill="1" applyBorder="1" applyAlignment="1">
      <alignment horizontal="center" vertical="center" shrinkToFit="1"/>
    </xf>
    <xf numFmtId="10" fontId="101" fillId="60" borderId="130" xfId="6" applyNumberFormat="1" applyFont="1" applyFill="1" applyBorder="1" applyAlignment="1">
      <alignment horizontal="center" vertical="center" shrinkToFit="1"/>
    </xf>
    <xf numFmtId="10" fontId="101" fillId="60" borderId="131" xfId="6" applyNumberFormat="1" applyFont="1" applyFill="1" applyBorder="1" applyAlignment="1">
      <alignment horizontal="center" vertical="center" shrinkToFit="1"/>
    </xf>
    <xf numFmtId="0" fontId="101" fillId="60" borderId="178" xfId="6" applyFont="1" applyFill="1" applyBorder="1" applyAlignment="1">
      <alignment horizontal="center" vertical="center"/>
    </xf>
    <xf numFmtId="0" fontId="101" fillId="60" borderId="171" xfId="6" applyFont="1" applyFill="1" applyBorder="1" applyAlignment="1">
      <alignment horizontal="center" vertical="center"/>
    </xf>
    <xf numFmtId="0" fontId="101" fillId="60" borderId="177" xfId="6" applyFont="1" applyFill="1" applyBorder="1" applyAlignment="1">
      <alignment horizontal="center" vertical="center"/>
    </xf>
    <xf numFmtId="0" fontId="101" fillId="60" borderId="180" xfId="6" applyFont="1" applyFill="1" applyBorder="1" applyAlignment="1">
      <alignment horizontal="center" vertical="center"/>
    </xf>
    <xf numFmtId="0" fontId="101" fillId="60" borderId="1" xfId="6" applyFont="1" applyFill="1" applyBorder="1" applyAlignment="1">
      <alignment horizontal="center" vertical="center"/>
    </xf>
    <xf numFmtId="0" fontId="101" fillId="60" borderId="179" xfId="6" applyFont="1" applyFill="1" applyBorder="1" applyAlignment="1">
      <alignment horizontal="center" vertical="center"/>
    </xf>
    <xf numFmtId="0" fontId="101" fillId="0" borderId="178" xfId="6" applyFont="1" applyBorder="1" applyAlignment="1">
      <alignment horizontal="center" vertical="center" shrinkToFit="1"/>
    </xf>
    <xf numFmtId="0" fontId="101" fillId="0" borderId="171" xfId="6" applyFont="1" applyBorder="1" applyAlignment="1">
      <alignment horizontal="center" vertical="center" shrinkToFit="1"/>
    </xf>
    <xf numFmtId="0" fontId="101" fillId="0" borderId="177" xfId="6" applyFont="1" applyBorder="1" applyAlignment="1">
      <alignment horizontal="center" vertical="center" shrinkToFit="1"/>
    </xf>
    <xf numFmtId="0" fontId="101" fillId="0" borderId="180" xfId="6" applyFont="1" applyBorder="1" applyAlignment="1">
      <alignment horizontal="center" vertical="center" shrinkToFit="1"/>
    </xf>
    <xf numFmtId="0" fontId="101" fillId="0" borderId="1" xfId="6" applyFont="1" applyBorder="1" applyAlignment="1">
      <alignment horizontal="center" vertical="center" shrinkToFit="1"/>
    </xf>
    <xf numFmtId="0" fontId="101" fillId="0" borderId="179" xfId="6" applyFont="1" applyBorder="1" applyAlignment="1">
      <alignment horizontal="center" vertical="center" shrinkToFit="1"/>
    </xf>
    <xf numFmtId="180" fontId="101" fillId="60" borderId="178" xfId="6" applyNumberFormat="1" applyFont="1" applyFill="1" applyBorder="1" applyAlignment="1">
      <alignment horizontal="center" vertical="center"/>
    </xf>
    <xf numFmtId="180" fontId="101" fillId="60" borderId="171" xfId="6" applyNumberFormat="1" applyFont="1" applyFill="1" applyBorder="1" applyAlignment="1">
      <alignment horizontal="center" vertical="center"/>
    </xf>
    <xf numFmtId="180" fontId="101" fillId="60" borderId="180" xfId="6" applyNumberFormat="1" applyFont="1" applyFill="1" applyBorder="1" applyAlignment="1">
      <alignment horizontal="center" vertical="center"/>
    </xf>
    <xf numFmtId="180" fontId="101" fillId="60" borderId="1" xfId="6" applyNumberFormat="1" applyFont="1" applyFill="1" applyBorder="1" applyAlignment="1">
      <alignment horizontal="center" vertical="center"/>
    </xf>
    <xf numFmtId="0" fontId="101" fillId="0" borderId="179" xfId="6" applyFont="1" applyBorder="1" applyAlignment="1">
      <alignment horizontal="center"/>
    </xf>
    <xf numFmtId="0" fontId="101" fillId="0" borderId="272" xfId="6" applyFont="1" applyBorder="1" applyAlignment="1">
      <alignment horizontal="center" vertical="center" shrinkToFit="1"/>
    </xf>
    <xf numFmtId="0" fontId="101" fillId="0" borderId="180" xfId="6" applyFont="1" applyBorder="1" applyAlignment="1">
      <alignment horizontal="distributed" vertical="center" shrinkToFit="1"/>
    </xf>
    <xf numFmtId="0" fontId="101" fillId="0" borderId="1" xfId="6" applyFont="1" applyBorder="1" applyAlignment="1">
      <alignment horizontal="distributed" vertical="center" shrinkToFit="1"/>
    </xf>
    <xf numFmtId="0" fontId="101" fillId="0" borderId="179" xfId="6" applyFont="1" applyBorder="1" applyAlignment="1">
      <alignment horizontal="distributed" vertical="center" shrinkToFit="1"/>
    </xf>
    <xf numFmtId="0" fontId="101" fillId="0" borderId="14" xfId="6" applyFont="1" applyBorder="1" applyAlignment="1">
      <alignment horizontal="center" vertical="center" shrinkToFit="1"/>
    </xf>
    <xf numFmtId="180" fontId="101" fillId="0" borderId="180" xfId="6" applyNumberFormat="1" applyFont="1" applyBorder="1" applyAlignment="1">
      <alignment horizontal="center" vertical="center"/>
    </xf>
    <xf numFmtId="180" fontId="101" fillId="0" borderId="1" xfId="6" applyNumberFormat="1" applyFont="1" applyBorder="1" applyAlignment="1">
      <alignment horizontal="center" vertical="center"/>
    </xf>
    <xf numFmtId="180" fontId="94" fillId="0" borderId="178" xfId="6" applyNumberFormat="1" applyBorder="1" applyAlignment="1">
      <alignment horizontal="center" vertical="center" wrapText="1"/>
    </xf>
    <xf numFmtId="180" fontId="94" fillId="0" borderId="171" xfId="6" applyNumberFormat="1" applyBorder="1" applyAlignment="1">
      <alignment horizontal="center" vertical="center" wrapText="1"/>
    </xf>
    <xf numFmtId="180" fontId="94" fillId="0" borderId="177" xfId="6" applyNumberFormat="1" applyBorder="1" applyAlignment="1">
      <alignment horizontal="center" vertical="center" wrapText="1"/>
    </xf>
    <xf numFmtId="180" fontId="94" fillId="0" borderId="11" xfId="6" applyNumberFormat="1" applyBorder="1" applyAlignment="1">
      <alignment horizontal="center" vertical="center" wrapText="1"/>
    </xf>
    <xf numFmtId="180" fontId="94" fillId="0" borderId="131" xfId="6" applyNumberFormat="1" applyBorder="1" applyAlignment="1">
      <alignment horizontal="center" vertical="center" wrapText="1"/>
    </xf>
    <xf numFmtId="0" fontId="94" fillId="0" borderId="203" xfId="6" applyBorder="1" applyAlignment="1">
      <alignment horizontal="center" vertical="center"/>
    </xf>
    <xf numFmtId="0" fontId="94" fillId="0" borderId="234" xfId="6" applyBorder="1" applyAlignment="1">
      <alignment horizontal="center" vertical="center"/>
    </xf>
    <xf numFmtId="0" fontId="94" fillId="0" borderId="233" xfId="6" applyBorder="1" applyAlignment="1">
      <alignment horizontal="center" vertical="center"/>
    </xf>
    <xf numFmtId="0" fontId="94" fillId="0" borderId="11" xfId="6" applyBorder="1" applyAlignment="1">
      <alignment horizontal="center" vertical="center"/>
    </xf>
    <xf numFmtId="0" fontId="94" fillId="0" borderId="130" xfId="6" applyBorder="1" applyAlignment="1">
      <alignment horizontal="center" vertical="center"/>
    </xf>
    <xf numFmtId="0" fontId="94" fillId="0" borderId="131" xfId="6" applyBorder="1" applyAlignment="1">
      <alignment horizontal="center" vertical="center"/>
    </xf>
    <xf numFmtId="0" fontId="94" fillId="0" borderId="178" xfId="6" applyBorder="1" applyAlignment="1">
      <alignment horizontal="center" vertical="center"/>
    </xf>
    <xf numFmtId="0" fontId="94" fillId="0" borderId="171" xfId="6" applyBorder="1" applyAlignment="1">
      <alignment horizontal="center" vertical="center"/>
    </xf>
    <xf numFmtId="0" fontId="94" fillId="0" borderId="177" xfId="6" applyBorder="1" applyAlignment="1">
      <alignment horizontal="center" vertical="center"/>
    </xf>
    <xf numFmtId="0" fontId="101" fillId="0" borderId="203" xfId="6" applyFont="1" applyBorder="1" applyAlignment="1">
      <alignment horizontal="distributed" vertical="center" wrapText="1" shrinkToFit="1"/>
    </xf>
    <xf numFmtId="0" fontId="101" fillId="0" borderId="234" xfId="6" applyFont="1" applyBorder="1" applyAlignment="1">
      <alignment horizontal="distributed" vertical="center" wrapText="1" shrinkToFit="1"/>
    </xf>
    <xf numFmtId="0" fontId="101" fillId="0" borderId="233" xfId="6" applyFont="1" applyBorder="1" applyAlignment="1">
      <alignment horizontal="distributed" vertical="center" wrapText="1" shrinkToFit="1"/>
    </xf>
    <xf numFmtId="0" fontId="101" fillId="0" borderId="11" xfId="6" applyFont="1" applyBorder="1" applyAlignment="1">
      <alignment horizontal="distributed" vertical="center" wrapText="1" shrinkToFit="1"/>
    </xf>
    <xf numFmtId="0" fontId="101" fillId="0" borderId="130" xfId="6" applyFont="1" applyBorder="1" applyAlignment="1">
      <alignment horizontal="distributed" vertical="center" wrapText="1" shrinkToFit="1"/>
    </xf>
    <xf numFmtId="0" fontId="101" fillId="0" borderId="131" xfId="6" applyFont="1" applyBorder="1" applyAlignment="1">
      <alignment horizontal="distributed" vertical="center" wrapText="1" shrinkToFit="1"/>
    </xf>
    <xf numFmtId="0" fontId="103" fillId="0" borderId="203" xfId="6" applyFont="1" applyBorder="1" applyAlignment="1">
      <alignment horizontal="distributed" vertical="center" wrapText="1" shrinkToFit="1"/>
    </xf>
    <xf numFmtId="0" fontId="103" fillId="0" borderId="234" xfId="6" applyFont="1" applyBorder="1" applyAlignment="1">
      <alignment horizontal="distributed" vertical="center" wrapText="1" shrinkToFit="1"/>
    </xf>
    <xf numFmtId="0" fontId="103" fillId="0" borderId="233" xfId="6" applyFont="1" applyBorder="1" applyAlignment="1">
      <alignment horizontal="distributed" vertical="center" wrapText="1" shrinkToFit="1"/>
    </xf>
    <xf numFmtId="0" fontId="103" fillId="0" borderId="11" xfId="6" applyFont="1" applyBorder="1" applyAlignment="1">
      <alignment horizontal="distributed" vertical="center" wrapText="1" shrinkToFit="1"/>
    </xf>
    <xf numFmtId="0" fontId="103" fillId="0" borderId="130" xfId="6" applyFont="1" applyBorder="1" applyAlignment="1">
      <alignment horizontal="distributed" vertical="center" wrapText="1" shrinkToFit="1"/>
    </xf>
    <xf numFmtId="0" fontId="103" fillId="0" borderId="131" xfId="6" applyFont="1" applyBorder="1" applyAlignment="1">
      <alignment horizontal="distributed" vertical="center" wrapText="1" shrinkToFit="1"/>
    </xf>
    <xf numFmtId="0" fontId="104" fillId="0" borderId="234" xfId="6" applyFont="1" applyBorder="1" applyAlignment="1">
      <alignment horizontal="distributed" vertical="center" wrapText="1" shrinkToFit="1"/>
    </xf>
    <xf numFmtId="0" fontId="104" fillId="0" borderId="233" xfId="6" applyFont="1" applyBorder="1" applyAlignment="1">
      <alignment horizontal="distributed" vertical="center" wrapText="1" shrinkToFit="1"/>
    </xf>
    <xf numFmtId="0" fontId="104" fillId="0" borderId="11" xfId="6" applyFont="1" applyBorder="1" applyAlignment="1">
      <alignment horizontal="distributed" vertical="center" wrapText="1" shrinkToFit="1"/>
    </xf>
    <xf numFmtId="0" fontId="104" fillId="0" borderId="130" xfId="6" applyFont="1" applyBorder="1" applyAlignment="1">
      <alignment horizontal="distributed" vertical="center" wrapText="1" shrinkToFit="1"/>
    </xf>
    <xf numFmtId="0" fontId="104" fillId="0" borderId="131" xfId="6" applyFont="1" applyBorder="1" applyAlignment="1">
      <alignment horizontal="distributed" vertical="center" wrapText="1" shrinkToFit="1"/>
    </xf>
    <xf numFmtId="0" fontId="105" fillId="0" borderId="203" xfId="6" applyFont="1" applyBorder="1" applyAlignment="1">
      <alignment horizontal="center" vertical="center"/>
    </xf>
    <xf numFmtId="0" fontId="105" fillId="0" borderId="234" xfId="6" applyFont="1" applyBorder="1" applyAlignment="1">
      <alignment horizontal="center" vertical="center"/>
    </xf>
    <xf numFmtId="0" fontId="105" fillId="0" borderId="233" xfId="6" applyFont="1" applyBorder="1" applyAlignment="1">
      <alignment horizontal="center" vertical="center"/>
    </xf>
    <xf numFmtId="0" fontId="105" fillId="0" borderId="11" xfId="6" applyFont="1" applyBorder="1" applyAlignment="1">
      <alignment horizontal="center" vertical="center"/>
    </xf>
    <xf numFmtId="0" fontId="105" fillId="0" borderId="130" xfId="6" applyFont="1" applyBorder="1" applyAlignment="1">
      <alignment horizontal="center" vertical="center"/>
    </xf>
    <xf numFmtId="0" fontId="105" fillId="0" borderId="131" xfId="6" applyFont="1" applyBorder="1" applyAlignment="1">
      <alignment horizontal="center" vertical="center"/>
    </xf>
    <xf numFmtId="0" fontId="105" fillId="0" borderId="272" xfId="6" applyFont="1" applyBorder="1" applyAlignment="1">
      <alignment horizontal="center" vertical="center"/>
    </xf>
    <xf numFmtId="0" fontId="105" fillId="0" borderId="203" xfId="6" applyFont="1" applyBorder="1" applyAlignment="1">
      <alignment horizontal="center" vertical="center" wrapText="1"/>
    </xf>
    <xf numFmtId="0" fontId="108" fillId="0" borderId="130" xfId="6" applyFont="1" applyBorder="1" applyAlignment="1">
      <alignment horizontal="center" vertical="center"/>
    </xf>
    <xf numFmtId="0" fontId="108" fillId="0" borderId="10" xfId="6" applyFont="1" applyBorder="1" applyAlignment="1">
      <alignment horizontal="center" vertical="center"/>
    </xf>
    <xf numFmtId="0" fontId="108" fillId="0" borderId="272" xfId="6" applyFont="1" applyBorder="1" applyAlignment="1">
      <alignment horizontal="center" vertical="center"/>
    </xf>
    <xf numFmtId="180" fontId="109" fillId="0" borderId="272" xfId="6" applyNumberFormat="1" applyFont="1" applyBorder="1" applyAlignment="1">
      <alignment vertical="center"/>
    </xf>
    <xf numFmtId="0" fontId="108" fillId="61" borderId="272" xfId="6" applyFont="1" applyFill="1" applyBorder="1" applyAlignment="1" applyProtection="1">
      <alignment horizontal="center" vertical="center"/>
      <protection locked="0"/>
    </xf>
    <xf numFmtId="199" fontId="111" fillId="61" borderId="272" xfId="6" applyNumberFormat="1" applyFont="1" applyFill="1" applyBorder="1" applyAlignment="1">
      <alignment horizontal="center" vertical="center"/>
    </xf>
    <xf numFmtId="199" fontId="111" fillId="0" borderId="272" xfId="6" applyNumberFormat="1" applyFont="1" applyBorder="1" applyAlignment="1">
      <alignment horizontal="center" vertical="center"/>
    </xf>
    <xf numFmtId="180" fontId="109" fillId="60" borderId="272" xfId="6" applyNumberFormat="1" applyFont="1" applyFill="1" applyBorder="1" applyAlignment="1">
      <alignment vertical="center"/>
    </xf>
    <xf numFmtId="0" fontId="108" fillId="61" borderId="0" xfId="6" applyFont="1" applyFill="1" applyAlignment="1">
      <alignment horizontal="center" vertical="center"/>
    </xf>
    <xf numFmtId="180" fontId="109" fillId="61" borderId="272" xfId="6" applyNumberFormat="1" applyFont="1" applyFill="1" applyBorder="1" applyAlignment="1">
      <alignment vertical="center"/>
    </xf>
    <xf numFmtId="0" fontId="108" fillId="0" borderId="0" xfId="6" applyFont="1" applyAlignment="1">
      <alignment vertical="center" wrapText="1"/>
    </xf>
    <xf numFmtId="179" fontId="110" fillId="61" borderId="272" xfId="6" applyNumberFormat="1" applyFont="1" applyFill="1" applyBorder="1" applyAlignment="1" applyProtection="1">
      <alignment horizontal="center" vertical="center"/>
      <protection locked="0"/>
    </xf>
    <xf numFmtId="0" fontId="108" fillId="0" borderId="272" xfId="6" applyFont="1" applyBorder="1" applyAlignment="1">
      <alignment horizontal="center" vertical="center" shrinkToFit="1"/>
    </xf>
    <xf numFmtId="0" fontId="90" fillId="0" borderId="272" xfId="5" applyFont="1" applyBorder="1" applyAlignment="1" applyProtection="1">
      <alignment horizontal="center" vertical="center"/>
      <protection locked="0"/>
    </xf>
    <xf numFmtId="0" fontId="0" fillId="0" borderId="203" xfId="0" applyBorder="1" applyAlignment="1">
      <alignment horizontal="center" vertical="center"/>
    </xf>
    <xf numFmtId="0" fontId="0" fillId="0" borderId="234" xfId="0" applyBorder="1" applyAlignment="1">
      <alignment horizontal="center" vertical="center"/>
    </xf>
    <xf numFmtId="0" fontId="0" fillId="18" borderId="284" xfId="0" applyFill="1" applyBorder="1" applyAlignment="1">
      <alignment horizontal="center" vertical="center"/>
    </xf>
    <xf numFmtId="0" fontId="0" fillId="18" borderId="285" xfId="0" applyFill="1" applyBorder="1" applyAlignment="1">
      <alignment horizontal="center" vertical="center"/>
    </xf>
    <xf numFmtId="0" fontId="0" fillId="18" borderId="286" xfId="0" applyFill="1" applyBorder="1" applyAlignment="1">
      <alignment horizontal="center" vertical="center"/>
    </xf>
    <xf numFmtId="0" fontId="0" fillId="17" borderId="201" xfId="0" applyFill="1" applyBorder="1" applyAlignment="1">
      <alignment horizontal="center" vertical="center"/>
    </xf>
    <xf numFmtId="0" fontId="0" fillId="15" borderId="90" xfId="0" applyFill="1" applyBorder="1" applyAlignment="1">
      <alignment horizontal="center" vertical="center"/>
    </xf>
    <xf numFmtId="0" fontId="0" fillId="15" borderId="273" xfId="0" applyFill="1" applyBorder="1" applyAlignment="1">
      <alignment horizontal="center" vertical="center"/>
    </xf>
    <xf numFmtId="0" fontId="0" fillId="15" borderId="64" xfId="0" applyFill="1" applyBorder="1" applyAlignment="1">
      <alignment horizontal="center" vertical="center"/>
    </xf>
    <xf numFmtId="0" fontId="89" fillId="0" borderId="89" xfId="0" applyFont="1" applyBorder="1" applyAlignment="1">
      <alignment horizontal="center" vertical="center" textRotation="255"/>
    </xf>
    <xf numFmtId="0" fontId="31" fillId="0" borderId="0" xfId="0" applyFont="1" applyAlignment="1">
      <alignment vertical="center" wrapText="1"/>
    </xf>
    <xf numFmtId="0" fontId="31" fillId="0" borderId="22" xfId="0" applyFont="1" applyBorder="1" applyAlignment="1">
      <alignment vertical="center" wrapText="1"/>
    </xf>
    <xf numFmtId="0" fontId="0" fillId="0" borderId="130" xfId="0" applyBorder="1" applyAlignment="1">
      <alignment horizontal="right" vertical="center"/>
    </xf>
    <xf numFmtId="0" fontId="0" fillId="0" borderId="280"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17" borderId="0" xfId="0" applyFill="1" applyAlignment="1">
      <alignment horizontal="right" vertical="center"/>
    </xf>
    <xf numFmtId="0" fontId="0" fillId="18" borderId="0" xfId="0" applyFill="1">
      <alignment vertical="center"/>
    </xf>
    <xf numFmtId="0" fontId="0" fillId="23" borderId="90" xfId="0" applyFill="1" applyBorder="1" applyAlignment="1">
      <alignment horizontal="center" vertical="center"/>
    </xf>
    <xf numFmtId="0" fontId="0" fillId="23" borderId="273" xfId="0" applyFill="1" applyBorder="1" applyAlignment="1">
      <alignment horizontal="center" vertical="center"/>
    </xf>
    <xf numFmtId="0" fontId="0" fillId="23" borderId="64" xfId="0" applyFill="1" applyBorder="1" applyAlignment="1">
      <alignment horizontal="center" vertical="center"/>
    </xf>
    <xf numFmtId="0" fontId="0" fillId="21" borderId="284" xfId="0" applyFill="1" applyBorder="1" applyAlignment="1">
      <alignment horizontal="center" vertical="center"/>
    </xf>
    <xf numFmtId="0" fontId="0" fillId="21" borderId="285" xfId="0" applyFill="1" applyBorder="1" applyAlignment="1">
      <alignment horizontal="center" vertical="center"/>
    </xf>
    <xf numFmtId="0" fontId="0" fillId="21" borderId="286" xfId="0" applyFill="1" applyBorder="1" applyAlignment="1">
      <alignment horizontal="center" vertical="center"/>
    </xf>
    <xf numFmtId="0" fontId="0" fillId="22" borderId="201" xfId="0" applyFill="1" applyBorder="1" applyAlignment="1">
      <alignment horizontal="center" vertical="center"/>
    </xf>
    <xf numFmtId="0" fontId="0" fillId="22" borderId="11" xfId="0" applyFill="1" applyBorder="1" applyAlignment="1">
      <alignment horizontal="center" vertical="center"/>
    </xf>
    <xf numFmtId="0" fontId="0" fillId="22" borderId="131" xfId="0" applyFill="1" applyBorder="1" applyAlignment="1">
      <alignment horizontal="center" vertical="center"/>
    </xf>
    <xf numFmtId="0" fontId="0" fillId="21" borderId="203" xfId="0" applyFill="1" applyBorder="1" applyAlignment="1">
      <alignment horizontal="center" vertical="center"/>
    </xf>
    <xf numFmtId="0" fontId="0" fillId="21" borderId="233" xfId="0" applyFill="1" applyBorder="1" applyAlignment="1">
      <alignment horizontal="center" vertical="center"/>
    </xf>
    <xf numFmtId="0" fontId="0" fillId="57" borderId="277" xfId="0" applyFill="1" applyBorder="1" applyAlignment="1">
      <alignment horizontal="center" vertical="center"/>
    </xf>
    <xf numFmtId="0" fontId="0" fillId="57" borderId="201" xfId="0" applyFill="1" applyBorder="1" applyAlignment="1">
      <alignment horizontal="center" vertical="center"/>
    </xf>
    <xf numFmtId="0" fontId="0" fillId="57" borderId="202" xfId="0" applyFill="1" applyBorder="1" applyAlignment="1">
      <alignment horizontal="center" vertical="center"/>
    </xf>
    <xf numFmtId="190" fontId="0" fillId="0" borderId="279" xfId="0" applyNumberFormat="1" applyBorder="1">
      <alignment vertical="center"/>
    </xf>
    <xf numFmtId="190" fontId="0" fillId="0" borderId="167" xfId="0" applyNumberFormat="1" applyBorder="1">
      <alignment vertical="center"/>
    </xf>
    <xf numFmtId="179" fontId="0" fillId="0" borderId="280" xfId="0" applyNumberFormat="1" applyBorder="1" applyAlignment="1">
      <alignment horizontal="center" vertical="center"/>
    </xf>
    <xf numFmtId="179" fontId="0" fillId="0" borderId="65" xfId="0" applyNumberFormat="1" applyBorder="1" applyAlignment="1">
      <alignment horizontal="center" vertical="center"/>
    </xf>
    <xf numFmtId="179" fontId="0" fillId="0" borderId="66" xfId="0" applyNumberFormat="1" applyBorder="1" applyAlignment="1">
      <alignment horizontal="center" vertical="center"/>
    </xf>
    <xf numFmtId="179" fontId="0" fillId="0" borderId="195" xfId="0" applyNumberFormat="1" applyBorder="1" applyAlignment="1">
      <alignment horizontal="center" vertical="center"/>
    </xf>
    <xf numFmtId="179" fontId="0" fillId="0" borderId="84" xfId="0" applyNumberFormat="1" applyBorder="1" applyAlignment="1">
      <alignment horizontal="center" vertical="center"/>
    </xf>
    <xf numFmtId="179" fontId="0" fillId="0" borderId="85" xfId="0" applyNumberFormat="1" applyBorder="1" applyAlignment="1">
      <alignment horizontal="center" vertical="center"/>
    </xf>
    <xf numFmtId="0" fontId="0" fillId="13" borderId="203" xfId="0" applyFill="1" applyBorder="1">
      <alignment vertical="center"/>
    </xf>
    <xf numFmtId="0" fontId="0" fillId="13" borderId="233" xfId="0" applyFill="1" applyBorder="1">
      <alignment vertical="center"/>
    </xf>
    <xf numFmtId="189" fontId="0" fillId="0" borderId="203" xfId="0" applyNumberFormat="1" applyBorder="1" applyAlignment="1">
      <alignment horizontal="center" vertical="center"/>
    </xf>
    <xf numFmtId="189" fontId="0" fillId="0" borderId="234" xfId="0" applyNumberFormat="1" applyBorder="1" applyAlignment="1">
      <alignment horizontal="center" vertical="center"/>
    </xf>
    <xf numFmtId="189" fontId="0" fillId="0" borderId="233" xfId="0" applyNumberFormat="1" applyBorder="1" applyAlignment="1">
      <alignment horizontal="center" vertical="center"/>
    </xf>
    <xf numFmtId="0" fontId="0" fillId="13" borderId="166" xfId="0" applyFill="1" applyBorder="1" applyAlignment="1">
      <alignment horizontal="center" vertical="center"/>
    </xf>
    <xf numFmtId="0" fontId="0" fillId="13" borderId="63" xfId="0" applyFill="1" applyBorder="1" applyAlignment="1">
      <alignment horizontal="center" vertical="center"/>
    </xf>
    <xf numFmtId="0" fontId="0" fillId="13" borderId="64" xfId="0" applyFill="1" applyBorder="1" applyAlignment="1">
      <alignment horizontal="center" vertical="center"/>
    </xf>
    <xf numFmtId="0" fontId="89" fillId="0" borderId="0" xfId="0" applyFont="1" applyAlignment="1">
      <alignment horizontal="center" vertical="center" textRotation="255"/>
    </xf>
    <xf numFmtId="0" fontId="0" fillId="56" borderId="277" xfId="0" applyFill="1" applyBorder="1" applyAlignment="1">
      <alignment horizontal="center" vertical="center"/>
    </xf>
    <xf numFmtId="0" fontId="0" fillId="56" borderId="201" xfId="0" applyFill="1" applyBorder="1" applyAlignment="1">
      <alignment horizontal="center" vertical="center"/>
    </xf>
    <xf numFmtId="0" fontId="0" fillId="56" borderId="202" xfId="0" applyFill="1" applyBorder="1" applyAlignment="1">
      <alignment horizontal="center" vertical="center"/>
    </xf>
    <xf numFmtId="0" fontId="0" fillId="38" borderId="201" xfId="0" applyFill="1" applyBorder="1" applyAlignment="1">
      <alignment horizontal="center" vertical="center"/>
    </xf>
    <xf numFmtId="0" fontId="0" fillId="38" borderId="241" xfId="0" applyFill="1" applyBorder="1" applyAlignment="1">
      <alignment horizontal="right" vertical="center"/>
    </xf>
    <xf numFmtId="0" fontId="0" fillId="38" borderId="169" xfId="0" applyFill="1" applyBorder="1" applyAlignment="1">
      <alignment horizontal="right" vertical="center"/>
    </xf>
    <xf numFmtId="0" fontId="0" fillId="34" borderId="281" xfId="0" applyFill="1" applyBorder="1">
      <alignment vertical="center"/>
    </xf>
    <xf numFmtId="0" fontId="0" fillId="34" borderId="283" xfId="0" applyFill="1" applyBorder="1">
      <alignment vertical="center"/>
    </xf>
    <xf numFmtId="189" fontId="0" fillId="0" borderId="281" xfId="0" applyNumberFormat="1" applyBorder="1" applyAlignment="1">
      <alignment horizontal="center" vertical="center"/>
    </xf>
    <xf numFmtId="189" fontId="0" fillId="0" borderId="282" xfId="0" applyNumberFormat="1" applyBorder="1" applyAlignment="1">
      <alignment horizontal="center" vertical="center"/>
    </xf>
    <xf numFmtId="189" fontId="0" fillId="0" borderId="283" xfId="0" applyNumberFormat="1" applyBorder="1" applyAlignment="1">
      <alignment horizontal="center" vertical="center"/>
    </xf>
    <xf numFmtId="189" fontId="0" fillId="0" borderId="241" xfId="0" applyNumberFormat="1" applyBorder="1" applyAlignment="1">
      <alignment horizontal="center" vertical="center"/>
    </xf>
    <xf numFmtId="189" fontId="0" fillId="0" borderId="87" xfId="0" applyNumberFormat="1" applyBorder="1" applyAlignment="1">
      <alignment horizontal="center" vertical="center"/>
    </xf>
    <xf numFmtId="189" fontId="0" fillId="0" borderId="169" xfId="0" applyNumberFormat="1" applyBorder="1" applyAlignment="1">
      <alignment horizontal="center" vertical="center"/>
    </xf>
    <xf numFmtId="0" fontId="0" fillId="34" borderId="166" xfId="0" applyFill="1" applyBorder="1" applyAlignment="1">
      <alignment horizontal="center" vertical="center"/>
    </xf>
    <xf numFmtId="0" fontId="0" fillId="34" borderId="63" xfId="0" applyFill="1" applyBorder="1" applyAlignment="1">
      <alignment horizontal="center" vertical="center"/>
    </xf>
    <xf numFmtId="0" fontId="0" fillId="34" borderId="64" xfId="0" applyFill="1" applyBorder="1" applyAlignment="1">
      <alignment horizontal="center" vertical="center"/>
    </xf>
    <xf numFmtId="0" fontId="0" fillId="55" borderId="277" xfId="0" applyFill="1" applyBorder="1" applyAlignment="1">
      <alignment horizontal="center" vertical="center"/>
    </xf>
    <xf numFmtId="0" fontId="0" fillId="55" borderId="201" xfId="0" applyFill="1" applyBorder="1" applyAlignment="1">
      <alignment horizontal="center" vertical="center"/>
    </xf>
    <xf numFmtId="0" fontId="0" fillId="55" borderId="202" xfId="0" applyFill="1" applyBorder="1" applyAlignment="1">
      <alignment horizontal="center" vertical="center"/>
    </xf>
    <xf numFmtId="0" fontId="0" fillId="39" borderId="201" xfId="0" applyFill="1" applyBorder="1" applyAlignment="1">
      <alignment horizontal="center" vertical="center"/>
    </xf>
    <xf numFmtId="0" fontId="0" fillId="30" borderId="281" xfId="0" applyFill="1" applyBorder="1">
      <alignment vertical="center"/>
    </xf>
    <xf numFmtId="0" fontId="0" fillId="30" borderId="283" xfId="0" applyFill="1" applyBorder="1">
      <alignment vertical="center"/>
    </xf>
    <xf numFmtId="0" fontId="0" fillId="39" borderId="241" xfId="0" applyFill="1" applyBorder="1" applyAlignment="1">
      <alignment horizontal="right" vertical="center"/>
    </xf>
    <xf numFmtId="0" fontId="0" fillId="39" borderId="169" xfId="0" applyFill="1" applyBorder="1" applyAlignment="1">
      <alignment horizontal="right" vertical="center"/>
    </xf>
    <xf numFmtId="0" fontId="0" fillId="30" borderId="166" xfId="0" applyFill="1" applyBorder="1" applyAlignment="1">
      <alignment horizontal="center" vertical="center"/>
    </xf>
    <xf numFmtId="0" fontId="0" fillId="30" borderId="63" xfId="0" applyFill="1" applyBorder="1" applyAlignment="1">
      <alignment horizontal="center" vertical="center"/>
    </xf>
    <xf numFmtId="0" fontId="0" fillId="30" borderId="64" xfId="0" applyFill="1" applyBorder="1" applyAlignment="1">
      <alignment horizontal="center" vertical="center"/>
    </xf>
    <xf numFmtId="0" fontId="0" fillId="0" borderId="0" xfId="0" applyAlignment="1">
      <alignment horizontal="left" vertical="center"/>
    </xf>
  </cellXfs>
  <cellStyles count="10">
    <cellStyle name="ハイパーリンク" xfId="5" builtinId="8"/>
    <cellStyle name="桁区切り" xfId="1" builtinId="6"/>
    <cellStyle name="桁区切り 2" xfId="2" xr:uid="{00000000-0005-0000-0000-000002000000}"/>
    <cellStyle name="桁区切り 3" xfId="7" xr:uid="{00000000-0005-0000-0000-000003000000}"/>
    <cellStyle name="通貨" xfId="3" builtinId="7"/>
    <cellStyle name="標準" xfId="0" builtinId="0"/>
    <cellStyle name="標準 2" xfId="4" xr:uid="{00000000-0005-0000-0000-000006000000}"/>
    <cellStyle name="標準 3" xfId="6" xr:uid="{00000000-0005-0000-0000-000007000000}"/>
    <cellStyle name="標準 4" xfId="8" xr:uid="{00000000-0005-0000-0000-000008000000}"/>
    <cellStyle name="標準 5" xfId="9" xr:uid="{00000000-0005-0000-0000-000009000000}"/>
  </cellStyles>
  <dxfs count="97">
    <dxf>
      <font>
        <color auto="1"/>
      </font>
      <fill>
        <patternFill>
          <bgColor rgb="FFFFFFCC"/>
        </patternFill>
      </fill>
    </dxf>
    <dxf>
      <font>
        <color auto="1"/>
      </font>
      <fill>
        <patternFill>
          <bgColor rgb="FFFFCCFF"/>
        </patternFill>
      </fill>
    </dxf>
    <dxf>
      <font>
        <color auto="1"/>
      </font>
      <fill>
        <patternFill>
          <bgColor rgb="FFCCFFFF"/>
        </patternFill>
      </fill>
    </dxf>
    <dxf>
      <font>
        <color auto="1"/>
      </font>
      <fill>
        <patternFill>
          <bgColor theme="6"/>
        </patternFill>
      </fill>
    </dxf>
    <dxf>
      <font>
        <color auto="1"/>
      </font>
      <fill>
        <patternFill>
          <bgColor theme="4" tint="0.39994506668294322"/>
        </patternFill>
      </fill>
    </dxf>
    <dxf>
      <font>
        <color auto="1"/>
      </font>
      <fill>
        <patternFill>
          <bgColor rgb="FFFFFFCC"/>
        </patternFill>
      </fill>
    </dxf>
    <dxf>
      <font>
        <color auto="1"/>
      </font>
      <fill>
        <patternFill>
          <bgColor rgb="FFFFCCFF"/>
        </patternFill>
      </fill>
    </dxf>
    <dxf>
      <font>
        <color auto="1"/>
      </font>
      <fill>
        <patternFill>
          <bgColor rgb="FFCCFFFF"/>
        </patternFill>
      </fill>
    </dxf>
    <dxf>
      <font>
        <color auto="1"/>
      </font>
      <fill>
        <patternFill>
          <bgColor theme="6"/>
        </patternFill>
      </fill>
    </dxf>
    <dxf>
      <font>
        <color auto="1"/>
      </font>
      <fill>
        <patternFill>
          <bgColor theme="4" tint="0.39994506668294322"/>
        </patternFill>
      </fill>
    </dxf>
    <dxf>
      <font>
        <color auto="1"/>
      </font>
      <fill>
        <patternFill>
          <bgColor rgb="FFFFFFCC"/>
        </patternFill>
      </fill>
    </dxf>
    <dxf>
      <font>
        <color auto="1"/>
      </font>
      <fill>
        <patternFill>
          <bgColor rgb="FFFFCCFF"/>
        </patternFill>
      </fill>
    </dxf>
    <dxf>
      <font>
        <color auto="1"/>
      </font>
      <fill>
        <patternFill>
          <bgColor rgb="FFCCFFFF"/>
        </patternFill>
      </fill>
    </dxf>
    <dxf>
      <font>
        <color auto="1"/>
      </font>
      <fill>
        <patternFill>
          <bgColor theme="6"/>
        </patternFill>
      </fill>
    </dxf>
    <dxf>
      <font>
        <color auto="1"/>
      </font>
      <fill>
        <patternFill>
          <bgColor theme="4" tint="0.39994506668294322"/>
        </patternFill>
      </fill>
    </dxf>
    <dxf>
      <font>
        <color auto="1"/>
      </font>
      <fill>
        <patternFill>
          <bgColor rgb="FFFFFFCC"/>
        </patternFill>
      </fill>
    </dxf>
    <dxf>
      <font>
        <color auto="1"/>
      </font>
      <fill>
        <patternFill>
          <bgColor rgb="FFFFCCFF"/>
        </patternFill>
      </fill>
    </dxf>
    <dxf>
      <font>
        <color auto="1"/>
      </font>
      <fill>
        <patternFill>
          <bgColor rgb="FFCCFFFF"/>
        </patternFill>
      </fill>
    </dxf>
    <dxf>
      <font>
        <color auto="1"/>
      </font>
      <fill>
        <patternFill>
          <bgColor theme="6"/>
        </patternFill>
      </fill>
    </dxf>
    <dxf>
      <font>
        <color auto="1"/>
      </font>
      <fill>
        <patternFill>
          <bgColor theme="4" tint="0.39994506668294322"/>
        </patternFill>
      </fill>
    </dxf>
    <dxf>
      <font>
        <color auto="1"/>
      </font>
      <fill>
        <patternFill>
          <bgColor rgb="FFFFFFCC"/>
        </patternFill>
      </fill>
    </dxf>
    <dxf>
      <font>
        <color auto="1"/>
      </font>
      <fill>
        <patternFill>
          <bgColor rgb="FFFFCCFF"/>
        </patternFill>
      </fill>
    </dxf>
    <dxf>
      <font>
        <color auto="1"/>
      </font>
      <fill>
        <patternFill>
          <bgColor rgb="FFCCFFFF"/>
        </patternFill>
      </fill>
    </dxf>
    <dxf>
      <font>
        <color auto="1"/>
      </font>
      <fill>
        <patternFill>
          <bgColor theme="6"/>
        </patternFill>
      </fill>
    </dxf>
    <dxf>
      <font>
        <color auto="1"/>
      </font>
      <fill>
        <patternFill>
          <bgColor theme="4" tint="0.39994506668294322"/>
        </patternFill>
      </fill>
    </dxf>
    <dxf>
      <fill>
        <patternFill patternType="solid">
          <bgColor theme="0"/>
        </patternFill>
      </fill>
    </dxf>
    <dxf>
      <font>
        <color rgb="FFFF0000"/>
      </font>
      <fill>
        <patternFill>
          <bgColor theme="0" tint="-0.14996795556505021"/>
        </patternFill>
      </fill>
    </dxf>
    <dxf>
      <font>
        <color rgb="FFFF0000"/>
      </font>
    </dxf>
    <dxf>
      <font>
        <color rgb="FFFF0000"/>
      </font>
    </dxf>
    <dxf>
      <font>
        <color rgb="FFFF0000"/>
      </font>
      <fill>
        <patternFill>
          <bgColor theme="0" tint="-0.34998626667073579"/>
        </patternFill>
      </fill>
    </dxf>
    <dxf>
      <font>
        <color rgb="FFFF0000"/>
      </font>
      <fill>
        <patternFill>
          <bgColor theme="0" tint="-0.34998626667073579"/>
        </patternFill>
      </fill>
    </dxf>
    <dxf>
      <font>
        <color rgb="FFFF0000"/>
      </font>
      <fill>
        <patternFill>
          <bgColor rgb="FF00B050"/>
        </patternFill>
      </fill>
    </dxf>
    <dxf>
      <font>
        <color theme="0"/>
      </font>
      <fill>
        <patternFill patternType="none">
          <bgColor auto="1"/>
        </patternFill>
      </fill>
      <border>
        <left/>
        <right/>
      </border>
    </dxf>
    <dxf>
      <font>
        <color rgb="FFFF0000"/>
      </font>
    </dxf>
    <dxf>
      <fill>
        <patternFill>
          <bgColor rgb="FFCCFFFF"/>
        </patternFill>
      </fill>
    </dxf>
    <dxf>
      <fill>
        <patternFill>
          <bgColor rgb="FFCCFFFF"/>
        </patternFill>
      </fill>
    </dxf>
    <dxf>
      <fill>
        <patternFill>
          <bgColor rgb="FFCCFFFF"/>
        </patternFill>
      </fill>
    </dxf>
    <dxf>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b val="0"/>
        <i val="0"/>
        <color theme="0"/>
      </font>
      <fill>
        <patternFill>
          <bgColor rgb="FFFF0000"/>
        </patternFill>
      </fill>
    </dxf>
    <dxf>
      <fill>
        <patternFill>
          <bgColor rgb="FFFFC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theme="0"/>
        </patternFill>
      </fill>
    </dxf>
    <dxf>
      <font>
        <color theme="0"/>
      </font>
      <fill>
        <patternFill patternType="solid">
          <bgColor theme="0"/>
        </patternFill>
      </fill>
    </dxf>
    <dxf>
      <font>
        <color theme="0"/>
      </font>
      <fill>
        <patternFill>
          <bgColor rgb="FF96460A"/>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CCFF"/>
        </patternFill>
      </fill>
    </dxf>
    <dxf>
      <fill>
        <patternFill>
          <bgColor rgb="FFFFFFCC"/>
        </patternFill>
      </fill>
    </dxf>
    <dxf>
      <font>
        <color theme="0"/>
      </font>
      <fill>
        <patternFill>
          <bgColor theme="0"/>
        </patternFill>
      </fill>
    </dxf>
    <dxf>
      <fill>
        <patternFill>
          <bgColor rgb="FFFFFFCC"/>
        </patternFill>
      </fill>
    </dxf>
    <dxf>
      <fill>
        <patternFill>
          <bgColor rgb="FFFFCCFF"/>
        </patternFill>
      </fill>
    </dxf>
    <dxf>
      <font>
        <color theme="0"/>
      </font>
      <fill>
        <patternFill>
          <bgColor theme="0"/>
        </patternFill>
      </fill>
    </dxf>
    <dxf>
      <font>
        <color theme="0"/>
      </font>
      <fill>
        <patternFill patternType="solid">
          <bgColor theme="0"/>
        </patternFill>
      </fill>
    </dxf>
    <dxf>
      <font>
        <color auto="1"/>
      </font>
      <fill>
        <patternFill>
          <bgColor rgb="FFFFC000"/>
        </patternFill>
      </fill>
    </dxf>
    <dxf>
      <font>
        <color theme="0"/>
      </font>
      <fill>
        <patternFill>
          <bgColor theme="0"/>
        </patternFill>
      </fill>
    </dxf>
    <dxf>
      <border>
        <right style="thin">
          <color indexed="64"/>
        </right>
      </border>
    </dxf>
    <dxf>
      <border>
        <right style="thin">
          <color indexed="64"/>
        </right>
      </border>
    </dxf>
    <dxf>
      <border>
        <right style="thin">
          <color indexed="64"/>
        </right>
      </border>
    </dxf>
    <dxf>
      <font>
        <color theme="0"/>
      </font>
      <fill>
        <patternFill>
          <bgColor rgb="FF96460A"/>
        </patternFill>
      </fill>
    </dxf>
    <dxf>
      <fill>
        <patternFill>
          <bgColor theme="1"/>
        </patternFill>
      </fill>
    </dxf>
    <dxf>
      <fill>
        <patternFill>
          <bgColor rgb="FF969696"/>
        </patternFill>
      </fill>
    </dxf>
    <dxf>
      <fill>
        <patternFill>
          <bgColor rgb="FFCCFFCC"/>
        </patternFill>
      </fill>
    </dxf>
    <dxf>
      <font>
        <color rgb="FFFF0000"/>
      </font>
    </dxf>
    <dxf>
      <fill>
        <patternFill>
          <bgColor rgb="FF99FF99"/>
        </patternFill>
      </fill>
    </dxf>
    <dxf>
      <font>
        <color theme="0"/>
      </font>
      <fill>
        <patternFill>
          <bgColor theme="0"/>
        </patternFill>
      </fill>
      <border>
        <left/>
        <right/>
      </border>
    </dxf>
    <dxf>
      <font>
        <color rgb="FFFFFF99"/>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fill>
        <patternFill patternType="solid">
          <fgColor auto="1"/>
          <bgColor rgb="FFFFFF99"/>
        </patternFill>
      </fill>
      <border>
        <left style="thin">
          <color auto="1"/>
        </left>
        <right style="thin">
          <color auto="1"/>
        </right>
        <top style="thin">
          <color auto="1"/>
        </top>
        <bottom style="thin">
          <color auto="1"/>
        </bottom>
      </border>
    </dxf>
    <dxf>
      <font>
        <color rgb="FFFFFF99"/>
      </font>
    </dxf>
    <dxf>
      <fill>
        <patternFill patternType="none">
          <bgColor auto="1"/>
        </patternFill>
      </fill>
    </dxf>
    <dxf>
      <font>
        <color theme="0"/>
      </font>
      <fill>
        <patternFill>
          <bgColor theme="0"/>
        </patternFill>
      </fill>
    </dxf>
    <dxf>
      <fill>
        <patternFill>
          <bgColor theme="0" tint="-0.499984740745262"/>
        </patternFill>
      </fill>
    </dxf>
    <dxf>
      <fill>
        <patternFill>
          <bgColor theme="0" tint="-0.499984740745262"/>
        </patternFill>
      </fill>
    </dxf>
    <dxf>
      <fill>
        <patternFill>
          <bgColor rgb="FFCCFFCC"/>
        </patternFill>
      </fill>
    </dxf>
    <dxf>
      <fill>
        <patternFill>
          <bgColor theme="0" tint="-0.499984740745262"/>
        </patternFill>
      </fill>
    </dxf>
    <dxf>
      <fill>
        <patternFill>
          <bgColor rgb="FFCCFFCC"/>
        </patternFill>
      </fill>
    </dxf>
    <dxf>
      <font>
        <color rgb="FFFF0000"/>
      </font>
      <fill>
        <patternFill>
          <bgColor theme="0" tint="-0.34998626667073579"/>
        </patternFill>
      </fill>
    </dxf>
    <dxf>
      <fill>
        <patternFill>
          <bgColor theme="0" tint="-0.499984740745262"/>
        </patternFill>
      </fill>
    </dxf>
    <dxf>
      <fill>
        <patternFill>
          <bgColor theme="0" tint="-0.499984740745262"/>
        </patternFill>
      </fill>
    </dxf>
    <dxf>
      <fill>
        <patternFill>
          <bgColor rgb="FFFFCC99"/>
        </patternFill>
      </fill>
    </dxf>
    <dxf>
      <fill>
        <patternFill>
          <bgColor rgb="FF99FF99"/>
        </patternFill>
      </fill>
    </dxf>
    <dxf>
      <fill>
        <patternFill patternType="none">
          <bgColor auto="1"/>
        </patternFill>
      </fill>
    </dxf>
    <dxf>
      <fill>
        <patternFill>
          <bgColor theme="0" tint="-0.499984740745262"/>
        </patternFill>
      </fill>
    </dxf>
    <dxf>
      <font>
        <color theme="0"/>
      </font>
      <fill>
        <patternFill>
          <bgColor rgb="FF96460A"/>
        </patternFill>
      </fill>
    </dxf>
  </dxfs>
  <tableStyles count="0" defaultTableStyle="TableStyleMedium9" defaultPivotStyle="PivotStyleLight16"/>
  <colors>
    <mruColors>
      <color rgb="FFFFFF99"/>
      <color rgb="FFFFFFCC"/>
      <color rgb="FFC0C0C0"/>
      <color rgb="FFFFCCFF"/>
      <color rgb="FFCCFFCC"/>
      <color rgb="FFCCFFFF"/>
      <color rgb="FF96460A"/>
      <color rgb="FF9646FF"/>
      <color rgb="FF000080"/>
      <color rgb="FF96FF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計算シート!$C$45" lockText="1" noThreeD="1"/>
</file>

<file path=xl/ctrlProps/ctrlProp10.xml><?xml version="1.0" encoding="utf-8"?>
<formControlPr xmlns="http://schemas.microsoft.com/office/spreadsheetml/2009/9/main" objectType="Radio" checked="Checked" firstButton="1" fmlaLink="計算シート!$H$9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計算シート!H159" lockText="1" noThreeD="1"/>
</file>

<file path=xl/ctrlProps/ctrlProp13.xml><?xml version="1.0" encoding="utf-8"?>
<formControlPr xmlns="http://schemas.microsoft.com/office/spreadsheetml/2009/9/main" objectType="CheckBox" fmlaLink="計算シート!M153" lockText="1" noThreeD="1"/>
</file>

<file path=xl/ctrlProps/ctrlProp14.xml><?xml version="1.0" encoding="utf-8"?>
<formControlPr xmlns="http://schemas.microsoft.com/office/spreadsheetml/2009/9/main" objectType="CheckBox" fmlaLink="計算シート!$C$80" lockText="1" noThreeD="1"/>
</file>

<file path=xl/ctrlProps/ctrlProp15.xml><?xml version="1.0" encoding="utf-8"?>
<formControlPr xmlns="http://schemas.microsoft.com/office/spreadsheetml/2009/9/main" objectType="CheckBox" fmlaLink="計算シート!$H$48" lockText="1" noThreeD="1"/>
</file>

<file path=xl/ctrlProps/ctrlProp16.xml><?xml version="1.0" encoding="utf-8"?>
<formControlPr xmlns="http://schemas.microsoft.com/office/spreadsheetml/2009/9/main" objectType="Radio" checked="Checked" firstButton="1" fmlaLink="計算シート!$H$1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計算シート!H153"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checked="Checked" firstButton="1" fmlaLink="$U$3" lockText="1" noThreeD="1"/>
</file>

<file path=xl/ctrlProps/ctrlProp25.xml><?xml version="1.0" encoding="utf-8"?>
<formControlPr xmlns="http://schemas.microsoft.com/office/spreadsheetml/2009/9/main" objectType="Radio" checked="Checked" firstButton="1" fmlaLink="U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fmlaLink="計算シート!$H$96" lockText="1" noThreeD="1"/>
</file>

<file path=xl/ctrlProps/ctrlProp30.xml><?xml version="1.0" encoding="utf-8"?>
<formControlPr xmlns="http://schemas.microsoft.com/office/spreadsheetml/2009/9/main" objectType="Radio" checked="Checked" firstButton="1" fmlaLink="U5"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checked="Checked" fmlaLink="$R$9" lockText="1" noThreeD="1"/>
</file>

<file path=xl/ctrlProps/ctrlProp34.xml><?xml version="1.0" encoding="utf-8"?>
<formControlPr xmlns="http://schemas.microsoft.com/office/spreadsheetml/2009/9/main" objectType="Radio" checked="Checked" firstButton="1" fmlaLink="Q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checked="Checked" fmlaLink="$R$17" lockText="1" noThreeD="1"/>
</file>

<file path=xl/ctrlProps/ctrlProp38.xml><?xml version="1.0" encoding="utf-8"?>
<formControlPr xmlns="http://schemas.microsoft.com/office/spreadsheetml/2009/9/main" objectType="CheckBox" checked="Checked" fmlaLink="R21" lockText="1" noThreeD="1"/>
</file>

<file path=xl/ctrlProps/ctrlProp39.xml><?xml version="1.0" encoding="utf-8"?>
<formControlPr xmlns="http://schemas.microsoft.com/office/spreadsheetml/2009/9/main" objectType="CheckBox" checked="Checked" fmlaLink="R24" lockText="1" noThreeD="1"/>
</file>

<file path=xl/ctrlProps/ctrlProp4.xml><?xml version="1.0" encoding="utf-8"?>
<formControlPr xmlns="http://schemas.microsoft.com/office/spreadsheetml/2009/9/main" objectType="Radio" checked="Checked" firstButton="1" fmlaLink="計算シート!$H$97" lockText="1" noThreeD="1"/>
</file>

<file path=xl/ctrlProps/ctrlProp40.xml><?xml version="1.0" encoding="utf-8"?>
<formControlPr xmlns="http://schemas.microsoft.com/office/spreadsheetml/2009/9/main" objectType="CheckBox" checked="Checked" fmlaLink="R20" lockText="1" noThreeD="1"/>
</file>

<file path=xl/ctrlProps/ctrlProp41.xml><?xml version="1.0" encoding="utf-8"?>
<formControlPr xmlns="http://schemas.microsoft.com/office/spreadsheetml/2009/9/main" objectType="CheckBox" checked="Checked" fmlaLink="$R$18" lockText="1" noThreeD="1"/>
</file>

<file path=xl/ctrlProps/ctrlProp42.xml><?xml version="1.0" encoding="utf-8"?>
<formControlPr xmlns="http://schemas.microsoft.com/office/spreadsheetml/2009/9/main" objectType="CheckBox" checked="Checked" fmlaLink="R22" lockText="1" noThreeD="1"/>
</file>

<file path=xl/ctrlProps/ctrlProp43.xml><?xml version="1.0" encoding="utf-8"?>
<formControlPr xmlns="http://schemas.microsoft.com/office/spreadsheetml/2009/9/main" objectType="CheckBox" checked="Checked" fmlaLink="R23" lockText="1" noThreeD="1"/>
</file>

<file path=xl/ctrlProps/ctrlProp5.xml><?xml version="1.0" encoding="utf-8"?>
<formControlPr xmlns="http://schemas.microsoft.com/office/spreadsheetml/2009/9/main" objectType="CheckBox" fmlaLink="計算シート!M161" lockText="1" noThreeD="1"/>
</file>

<file path=xl/ctrlProps/ctrlProp6.xml><?xml version="1.0" encoding="utf-8"?>
<formControlPr xmlns="http://schemas.microsoft.com/office/spreadsheetml/2009/9/main" objectType="CheckBox" fmlaLink="計算シート!H167" lockText="1" noThreeD="1"/>
</file>

<file path=xl/ctrlProps/ctrlProp7.xml><?xml version="1.0" encoding="utf-8"?>
<formControlPr xmlns="http://schemas.microsoft.com/office/spreadsheetml/2009/9/main" objectType="CheckBox" fmlaLink="資金計画!$Q$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xdr:col>
      <xdr:colOff>228600</xdr:colOff>
      <xdr:row>3</xdr:row>
      <xdr:rowOff>19050</xdr:rowOff>
    </xdr:to>
    <xdr:pic>
      <xdr:nvPicPr>
        <xdr:cNvPr id="1841" name="Picture 28">
          <a:extLst>
            <a:ext uri="{FF2B5EF4-FFF2-40B4-BE49-F238E27FC236}">
              <a16:creationId xmlns:a16="http://schemas.microsoft.com/office/drawing/2014/main" id="{00000000-0008-0000-0000-0000310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57150"/>
          <a:ext cx="400050" cy="3905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11</xdr:col>
          <xdr:colOff>381000</xdr:colOff>
          <xdr:row>9</xdr:row>
          <xdr:rowOff>57150</xdr:rowOff>
        </xdr:from>
        <xdr:to>
          <xdr:col>13</xdr:col>
          <xdr:colOff>9525</xdr:colOff>
          <xdr:row>9</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96</xdr:row>
          <xdr:rowOff>9525</xdr:rowOff>
        </xdr:from>
        <xdr:to>
          <xdr:col>9</xdr:col>
          <xdr:colOff>0</xdr:colOff>
          <xdr:row>97</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108</xdr:row>
          <xdr:rowOff>9525</xdr:rowOff>
        </xdr:from>
        <xdr:to>
          <xdr:col>9</xdr:col>
          <xdr:colOff>0</xdr:colOff>
          <xdr:row>109</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102</xdr:row>
          <xdr:rowOff>9525</xdr:rowOff>
        </xdr:from>
        <xdr:to>
          <xdr:col>9</xdr:col>
          <xdr:colOff>0</xdr:colOff>
          <xdr:row>103</xdr:row>
          <xdr:rowOff>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61</xdr:row>
          <xdr:rowOff>28575</xdr:rowOff>
        </xdr:from>
        <xdr:to>
          <xdr:col>3</xdr:col>
          <xdr:colOff>171450</xdr:colOff>
          <xdr:row>61</xdr:row>
          <xdr:rowOff>285750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85725</xdr:rowOff>
        </xdr:from>
        <xdr:to>
          <xdr:col>7</xdr:col>
          <xdr:colOff>352425</xdr:colOff>
          <xdr:row>28</xdr:row>
          <xdr:rowOff>228600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28</xdr:row>
          <xdr:rowOff>95250</xdr:rowOff>
        </xdr:from>
        <xdr:to>
          <xdr:col>10</xdr:col>
          <xdr:colOff>371475</xdr:colOff>
          <xdr:row>28</xdr:row>
          <xdr:rowOff>219075</xdr:rowOff>
        </xdr:to>
        <xdr:sp macro="" textlink="">
          <xdr:nvSpPr>
            <xdr:cNvPr id="2" name="Option Button 817" hidden="1">
              <a:extLst>
                <a:ext uri="{63B3BB69-23CF-44E3-9099-C40C66FF867C}">
                  <a14:compatExt spid="_x0000_s1841"/>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104775</xdr:rowOff>
        </xdr:from>
        <xdr:to>
          <xdr:col>7</xdr:col>
          <xdr:colOff>342900</xdr:colOff>
          <xdr:row>25</xdr:row>
          <xdr:rowOff>238125</xdr:rowOff>
        </xdr:to>
        <xdr:sp macro="" textlink="">
          <xdr:nvSpPr>
            <xdr:cNvPr id="1844" name="Option Button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95250</xdr:rowOff>
        </xdr:from>
        <xdr:to>
          <xdr:col>10</xdr:col>
          <xdr:colOff>333375</xdr:colOff>
          <xdr:row>25</xdr:row>
          <xdr:rowOff>257175</xdr:rowOff>
        </xdr:to>
        <xdr:sp macro="" textlink="">
          <xdr:nvSpPr>
            <xdr:cNvPr id="1845" name="Option Button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99</xdr:row>
          <xdr:rowOff>9525</xdr:rowOff>
        </xdr:from>
        <xdr:to>
          <xdr:col>9</xdr:col>
          <xdr:colOff>0</xdr:colOff>
          <xdr:row>100</xdr:row>
          <xdr:rowOff>0</xdr:rowOff>
        </xdr:to>
        <xdr:sp macro="" textlink="">
          <xdr:nvSpPr>
            <xdr:cNvPr id="1855" name="Check Box 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105</xdr:row>
          <xdr:rowOff>9525</xdr:rowOff>
        </xdr:from>
        <xdr:to>
          <xdr:col>9</xdr:col>
          <xdr:colOff>9525</xdr:colOff>
          <xdr:row>106</xdr:row>
          <xdr:rowOff>9525</xdr:rowOff>
        </xdr:to>
        <xdr:sp macro="" textlink="">
          <xdr:nvSpPr>
            <xdr:cNvPr id="1856" name="Check Box 266"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49</xdr:row>
          <xdr:rowOff>171450</xdr:rowOff>
        </xdr:from>
        <xdr:to>
          <xdr:col>13</xdr:col>
          <xdr:colOff>409575</xdr:colOff>
          <xdr:row>50</xdr:row>
          <xdr:rowOff>38100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12</xdr:row>
          <xdr:rowOff>66675</xdr:rowOff>
        </xdr:from>
        <xdr:to>
          <xdr:col>13</xdr:col>
          <xdr:colOff>447675</xdr:colOff>
          <xdr:row>12</xdr:row>
          <xdr:rowOff>295275</xdr:rowOff>
        </xdr:to>
        <xdr:sp macro="" textlink="">
          <xdr:nvSpPr>
            <xdr:cNvPr id="1859" name="Check Box 2"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95250</xdr:rowOff>
        </xdr:from>
        <xdr:to>
          <xdr:col>6</xdr:col>
          <xdr:colOff>161925</xdr:colOff>
          <xdr:row>15</xdr:row>
          <xdr:rowOff>257175</xdr:rowOff>
        </xdr:to>
        <xdr:sp macro="" textlink="">
          <xdr:nvSpPr>
            <xdr:cNvPr id="1860" name="Option Button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15</xdr:row>
          <xdr:rowOff>76200</xdr:rowOff>
        </xdr:from>
        <xdr:to>
          <xdr:col>9</xdr:col>
          <xdr:colOff>180975</xdr:colOff>
          <xdr:row>15</xdr:row>
          <xdr:rowOff>247650</xdr:rowOff>
        </xdr:to>
        <xdr:sp macro="" textlink="">
          <xdr:nvSpPr>
            <xdr:cNvPr id="1861" name="Option Button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26</xdr:row>
          <xdr:rowOff>104775</xdr:rowOff>
        </xdr:from>
        <xdr:to>
          <xdr:col>7</xdr:col>
          <xdr:colOff>352425</xdr:colOff>
          <xdr:row>26</xdr:row>
          <xdr:rowOff>276225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85725</xdr:rowOff>
        </xdr:from>
        <xdr:to>
          <xdr:col>10</xdr:col>
          <xdr:colOff>333375</xdr:colOff>
          <xdr:row>26</xdr:row>
          <xdr:rowOff>276225</xdr:rowOff>
        </xdr:to>
        <xdr:sp macro="" textlink="">
          <xdr:nvSpPr>
            <xdr:cNvPr id="1843" name="Option Button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38100</xdr:rowOff>
        </xdr:from>
        <xdr:to>
          <xdr:col>7</xdr:col>
          <xdr:colOff>333375</xdr:colOff>
          <xdr:row>27</xdr:row>
          <xdr:rowOff>257175</xdr:rowOff>
        </xdr:to>
        <xdr:sp macro="" textlink="">
          <xdr:nvSpPr>
            <xdr:cNvPr id="1863" name="Option Button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28575</xdr:rowOff>
        </xdr:from>
        <xdr:to>
          <xdr:col>10</xdr:col>
          <xdr:colOff>323850</xdr:colOff>
          <xdr:row>27</xdr:row>
          <xdr:rowOff>238125</xdr:rowOff>
        </xdr:to>
        <xdr:sp macro="" textlink="">
          <xdr:nvSpPr>
            <xdr:cNvPr id="1864" name="Option Button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15</xdr:col>
          <xdr:colOff>0</xdr:colOff>
          <xdr:row>26</xdr:row>
          <xdr:rowOff>0</xdr:rowOff>
        </xdr:to>
        <xdr:sp macro="" textlink="">
          <xdr:nvSpPr>
            <xdr:cNvPr id="1865" name="Group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15</xdr:col>
          <xdr:colOff>0</xdr:colOff>
          <xdr:row>28</xdr:row>
          <xdr:rowOff>0</xdr:rowOff>
        </xdr:to>
        <xdr:sp macro="" textlink="">
          <xdr:nvSpPr>
            <xdr:cNvPr id="1867" name="Group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15</xdr:col>
          <xdr:colOff>0</xdr:colOff>
          <xdr:row>29</xdr:row>
          <xdr:rowOff>0</xdr:rowOff>
        </xdr:to>
        <xdr:sp macro="" textlink="">
          <xdr:nvSpPr>
            <xdr:cNvPr id="1869" name="Group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0</xdr:rowOff>
        </xdr:from>
        <xdr:to>
          <xdr:col>5</xdr:col>
          <xdr:colOff>0</xdr:colOff>
          <xdr:row>2</xdr:row>
          <xdr:rowOff>0</xdr:rowOff>
        </xdr:to>
        <xdr:sp macro="" textlink="">
          <xdr:nvSpPr>
            <xdr:cNvPr id="10241" name="Group Box 824"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xdr:row>
          <xdr:rowOff>9525</xdr:rowOff>
        </xdr:from>
        <xdr:to>
          <xdr:col>3</xdr:col>
          <xdr:colOff>0</xdr:colOff>
          <xdr:row>2</xdr:row>
          <xdr:rowOff>0</xdr:rowOff>
        </xdr:to>
        <xdr:sp macro="" textlink="">
          <xdr:nvSpPr>
            <xdr:cNvPr id="10242" name="Option Button 821"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xdr:row>
          <xdr:rowOff>28575</xdr:rowOff>
        </xdr:from>
        <xdr:to>
          <xdr:col>3</xdr:col>
          <xdr:colOff>0</xdr:colOff>
          <xdr:row>3</xdr:row>
          <xdr:rowOff>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建築のみ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xdr:row>
          <xdr:rowOff>19050</xdr:rowOff>
        </xdr:from>
        <xdr:to>
          <xdr:col>4</xdr:col>
          <xdr:colOff>704850</xdr:colOff>
          <xdr:row>2</xdr:row>
          <xdr:rowOff>0</xdr:rowOff>
        </xdr:to>
        <xdr:sp macro="" textlink="">
          <xdr:nvSpPr>
            <xdr:cNvPr id="10244" name="Option Button 820"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中古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28575</xdr:rowOff>
        </xdr:from>
        <xdr:to>
          <xdr:col>4</xdr:col>
          <xdr:colOff>0</xdr:colOff>
          <xdr:row>3</xdr:row>
          <xdr:rowOff>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土地・建築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xdr:row>
          <xdr:rowOff>19050</xdr:rowOff>
        </xdr:from>
        <xdr:to>
          <xdr:col>5</xdr:col>
          <xdr:colOff>0</xdr:colOff>
          <xdr:row>3</xdr:row>
          <xdr:rowOff>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建売・戸建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xdr:row>
          <xdr:rowOff>9525</xdr:rowOff>
        </xdr:from>
        <xdr:to>
          <xdr:col>5</xdr:col>
          <xdr:colOff>752475</xdr:colOff>
          <xdr:row>3</xdr:row>
          <xdr:rowOff>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28575</xdr:rowOff>
        </xdr:from>
        <xdr:to>
          <xdr:col>3</xdr:col>
          <xdr:colOff>0</xdr:colOff>
          <xdr:row>3</xdr:row>
          <xdr:rowOff>219075</xdr:rowOff>
        </xdr:to>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28575</xdr:rowOff>
        </xdr:from>
        <xdr:to>
          <xdr:col>4</xdr:col>
          <xdr:colOff>0</xdr:colOff>
          <xdr:row>3</xdr:row>
          <xdr:rowOff>219075</xdr:rowOff>
        </xdr:to>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MAX(10割)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4</xdr:col>
          <xdr:colOff>0</xdr:colOff>
          <xdr:row>4</xdr:row>
          <xdr:rowOff>0</xdr:rowOff>
        </xdr:to>
        <xdr:sp macro="" textlink="">
          <xdr:nvSpPr>
            <xdr:cNvPr id="10250" name="Group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xdr:row>
          <xdr:rowOff>0</xdr:rowOff>
        </xdr:from>
        <xdr:to>
          <xdr:col>5</xdr:col>
          <xdr:colOff>247650</xdr:colOff>
          <xdr:row>9</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23</xdr:row>
          <xdr:rowOff>38100</xdr:rowOff>
        </xdr:from>
        <xdr:to>
          <xdr:col>7</xdr:col>
          <xdr:colOff>0</xdr:colOff>
          <xdr:row>23</xdr:row>
          <xdr:rowOff>200025</xdr:rowOff>
        </xdr:to>
        <xdr:sp macro="" textlink="">
          <xdr:nvSpPr>
            <xdr:cNvPr id="10255" name="Option Button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25</xdr:row>
          <xdr:rowOff>38100</xdr:rowOff>
        </xdr:from>
        <xdr:to>
          <xdr:col>7</xdr:col>
          <xdr:colOff>0</xdr:colOff>
          <xdr:row>25</xdr:row>
          <xdr:rowOff>200025</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23</xdr:row>
          <xdr:rowOff>0</xdr:rowOff>
        </xdr:from>
        <xdr:to>
          <xdr:col>7</xdr:col>
          <xdr:colOff>0</xdr:colOff>
          <xdr:row>26</xdr:row>
          <xdr:rowOff>0</xdr:rowOff>
        </xdr:to>
        <xdr:sp macro="" textlink="">
          <xdr:nvSpPr>
            <xdr:cNvPr id="10258" name="Group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38100</xdr:rowOff>
        </xdr:from>
        <xdr:to>
          <xdr:col>5</xdr:col>
          <xdr:colOff>209550</xdr:colOff>
          <xdr:row>17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19050</xdr:rowOff>
        </xdr:from>
        <xdr:to>
          <xdr:col>5</xdr:col>
          <xdr:colOff>171450</xdr:colOff>
          <xdr:row>21</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19050</xdr:rowOff>
        </xdr:from>
        <xdr:to>
          <xdr:col>5</xdr:col>
          <xdr:colOff>171450</xdr:colOff>
          <xdr:row>24</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19050</xdr:rowOff>
        </xdr:from>
        <xdr:to>
          <xdr:col>5</xdr:col>
          <xdr:colOff>171450</xdr:colOff>
          <xdr:row>20</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9525</xdr:rowOff>
        </xdr:from>
        <xdr:to>
          <xdr:col>5</xdr:col>
          <xdr:colOff>228600</xdr:colOff>
          <xdr:row>18</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19050</xdr:rowOff>
        </xdr:from>
        <xdr:to>
          <xdr:col>5</xdr:col>
          <xdr:colOff>171450</xdr:colOff>
          <xdr:row>22</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19050</xdr:rowOff>
        </xdr:from>
        <xdr:to>
          <xdr:col>5</xdr:col>
          <xdr:colOff>171450</xdr:colOff>
          <xdr:row>23</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21</xdr:row>
          <xdr:rowOff>161925</xdr:rowOff>
        </xdr:from>
        <xdr:to>
          <xdr:col>22</xdr:col>
          <xdr:colOff>114300</xdr:colOff>
          <xdr:row>41</xdr:row>
          <xdr:rowOff>9525</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C00-000004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s-j-jp.leo.oneoffice.jp/&#12464;&#12523;&#12540;&#12503;/&#34701;&#36039;&#26989;&#21209;&#26412;&#37096;/&#9733;&#12469;&#12509;&#12540;&#12488;&#20107;&#26989;&#37096;/&#25215;&#35469;&#24460;&#26696;&#20214;&#31649;&#29702;&#12420;&#12387;&#12390;&#12427;&#39080;&#12501;&#12457;&#12523;&#12480;/&#12362;&#23458;&#12373;&#12435;&#21521;&#12369;&#12388;&#12394;&#12366;&#37329;&#28040;&#26696;&#20869;&#29992;&#65290;&#33258;&#24049;&#36012;&#20219;&#20316;&#25104;/&#12388;&#12394;&#12366;&#12398;&#36027;&#29992;&#35336;&#31639;&#12471;&#12540;&#12488;/&#12388;&#12394;&#12366;&#12398;&#12374;&#12387;&#12392;&#35336;&#31639;&#12372;&#26696;&#20869;&#29992;_&#22618;&#26412;&#29987;&#26989;&#12373;&#12435;&#39641;&#26408;&#24247;&#22826;&#12373;&#12414;&#37048;&#12398;&#20206;&#35336;&#31639;ver2018.1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リスト"/>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173"/>
  <sheetViews>
    <sheetView showGridLines="0" tabSelected="1" zoomScale="85" zoomScaleNormal="85" zoomScaleSheetLayoutView="70" workbookViewId="0">
      <selection activeCell="G8" sqref="G8:H8"/>
    </sheetView>
  </sheetViews>
  <sheetFormatPr defaultColWidth="9" defaultRowHeight="13.5"/>
  <cols>
    <col min="1" max="1" width="2.875" style="113" customWidth="1"/>
    <col min="2" max="9" width="6.625" style="113" customWidth="1"/>
    <col min="10" max="13" width="7.25" style="113" customWidth="1"/>
    <col min="14" max="14" width="7.875" style="113" customWidth="1"/>
    <col min="15" max="15" width="7.25" style="113" customWidth="1"/>
    <col min="16" max="16384" width="9" style="113"/>
  </cols>
  <sheetData>
    <row r="1" spans="1:15" ht="6" customHeight="1" thickBot="1">
      <c r="A1" s="315"/>
      <c r="B1" s="315"/>
      <c r="C1" s="315"/>
      <c r="D1" s="315"/>
      <c r="E1" s="315"/>
      <c r="F1" s="315"/>
      <c r="G1" s="315"/>
      <c r="H1" s="315"/>
      <c r="I1" s="315"/>
      <c r="J1" s="315"/>
      <c r="K1" s="315"/>
      <c r="L1" s="315"/>
      <c r="M1" s="315"/>
      <c r="N1" s="315"/>
      <c r="O1" s="315"/>
    </row>
    <row r="2" spans="1:15">
      <c r="A2" s="960" t="s">
        <v>0</v>
      </c>
      <c r="B2" s="960"/>
      <c r="C2" s="960"/>
      <c r="D2" s="960"/>
      <c r="E2" s="960"/>
      <c r="F2" s="960"/>
      <c r="G2" s="960"/>
      <c r="H2" s="315"/>
      <c r="I2" s="975" t="s">
        <v>1</v>
      </c>
      <c r="J2" s="975"/>
      <c r="K2" s="975"/>
      <c r="L2" s="975"/>
      <c r="M2" s="976"/>
      <c r="N2" s="967"/>
      <c r="O2" s="968"/>
    </row>
    <row r="3" spans="1:15" ht="14.25" thickBot="1">
      <c r="A3" s="960"/>
      <c r="B3" s="960"/>
      <c r="C3" s="960"/>
      <c r="D3" s="960"/>
      <c r="E3" s="960"/>
      <c r="F3" s="960"/>
      <c r="G3" s="960"/>
      <c r="H3" s="315"/>
      <c r="I3" s="975"/>
      <c r="J3" s="975"/>
      <c r="K3" s="975"/>
      <c r="L3" s="975"/>
      <c r="M3" s="976"/>
      <c r="N3" s="969"/>
      <c r="O3" s="970"/>
    </row>
    <row r="4" spans="1:15" ht="6" customHeight="1" thickBot="1">
      <c r="A4" s="114"/>
      <c r="B4" s="114"/>
      <c r="C4" s="114"/>
      <c r="D4" s="114"/>
      <c r="E4" s="114"/>
      <c r="F4" s="114"/>
      <c r="G4" s="114"/>
      <c r="H4" s="316"/>
      <c r="I4" s="316"/>
      <c r="J4" s="316"/>
      <c r="K4" s="316"/>
      <c r="L4" s="316"/>
      <c r="M4" s="316"/>
      <c r="N4" s="316"/>
      <c r="O4" s="316"/>
    </row>
    <row r="5" spans="1:15" ht="14.25" thickTop="1">
      <c r="A5" s="315"/>
      <c r="B5" s="315"/>
      <c r="C5" s="315"/>
      <c r="D5" s="315"/>
      <c r="E5" s="315"/>
      <c r="F5" s="315"/>
      <c r="G5" s="315"/>
      <c r="H5" s="315"/>
      <c r="I5" s="315"/>
      <c r="J5" s="315"/>
      <c r="K5" s="315"/>
      <c r="L5" s="315"/>
      <c r="M5" s="315"/>
      <c r="N5" s="315"/>
      <c r="O5" s="315"/>
    </row>
    <row r="6" spans="1:15" ht="26.25" customHeight="1">
      <c r="A6" s="965" t="s">
        <v>2</v>
      </c>
      <c r="B6" s="966"/>
      <c r="C6" s="966"/>
      <c r="D6" s="966"/>
      <c r="E6" s="966"/>
      <c r="F6" s="486" t="s">
        <v>3</v>
      </c>
      <c r="G6" s="487" t="s">
        <v>4</v>
      </c>
      <c r="H6" s="488"/>
      <c r="I6" s="489"/>
      <c r="J6" s="489"/>
      <c r="K6" s="489"/>
      <c r="L6" s="489"/>
      <c r="M6" s="489"/>
      <c r="N6" s="489"/>
      <c r="O6" s="490"/>
    </row>
    <row r="7" spans="1:15" ht="12.75" customHeight="1" thickBot="1">
      <c r="A7" s="315"/>
      <c r="B7" s="115"/>
      <c r="C7" s="315"/>
      <c r="D7" s="315"/>
      <c r="E7" s="315"/>
      <c r="F7" s="315"/>
      <c r="G7" s="315"/>
      <c r="H7" s="315"/>
      <c r="I7" s="315"/>
      <c r="J7" s="315"/>
      <c r="K7" s="315"/>
      <c r="L7" s="315"/>
      <c r="M7" s="315"/>
      <c r="N7" s="315"/>
      <c r="O7" s="116"/>
    </row>
    <row r="8" spans="1:15" ht="26.25" customHeight="1" thickBot="1">
      <c r="A8" s="315"/>
      <c r="B8" s="769" t="s">
        <v>5</v>
      </c>
      <c r="C8" s="770"/>
      <c r="D8" s="771"/>
      <c r="E8" s="760" t="s">
        <v>6</v>
      </c>
      <c r="F8" s="868"/>
      <c r="G8" s="886"/>
      <c r="H8" s="887"/>
      <c r="I8" s="491" t="s">
        <v>7</v>
      </c>
      <c r="J8" s="868" t="s">
        <v>8</v>
      </c>
      <c r="K8" s="868"/>
      <c r="L8" s="886"/>
      <c r="M8" s="887"/>
      <c r="N8" s="491" t="s">
        <v>7</v>
      </c>
      <c r="O8" s="116"/>
    </row>
    <row r="9" spans="1:15" ht="26.25" customHeight="1" thickBot="1">
      <c r="A9" s="315"/>
      <c r="B9" s="769" t="s">
        <v>9</v>
      </c>
      <c r="C9" s="770"/>
      <c r="D9" s="771"/>
      <c r="E9" s="760"/>
      <c r="F9" s="868"/>
      <c r="G9" s="886"/>
      <c r="H9" s="887"/>
      <c r="I9" s="491" t="s">
        <v>10</v>
      </c>
      <c r="J9" s="868"/>
      <c r="K9" s="868"/>
      <c r="L9" s="886"/>
      <c r="M9" s="887"/>
      <c r="N9" s="491" t="s">
        <v>10</v>
      </c>
      <c r="O9" s="318">
        <v>69</v>
      </c>
    </row>
    <row r="10" spans="1:15" ht="26.25" customHeight="1">
      <c r="A10" s="315"/>
      <c r="B10" s="653"/>
      <c r="C10" s="654"/>
      <c r="D10" s="655"/>
      <c r="E10" s="961" t="s">
        <v>11</v>
      </c>
      <c r="F10" s="962"/>
      <c r="G10" s="963"/>
      <c r="H10" s="963"/>
      <c r="I10" s="962"/>
      <c r="J10" s="962"/>
      <c r="K10" s="962"/>
      <c r="L10" s="963"/>
      <c r="M10" s="963"/>
      <c r="N10" s="964"/>
      <c r="O10" s="117"/>
    </row>
    <row r="11" spans="1:15" ht="26.25" customHeight="1" thickBot="1">
      <c r="A11" s="315"/>
      <c r="B11" s="971"/>
      <c r="C11" s="972"/>
      <c r="D11" s="973"/>
      <c r="E11" s="320"/>
      <c r="F11" s="974" t="s">
        <v>12</v>
      </c>
      <c r="G11" s="974"/>
      <c r="H11" s="974"/>
      <c r="I11" s="974"/>
      <c r="J11" s="321" t="str">
        <f>IF(AND(計算シート!C45=TRUE,入力シート!G9&lt;=入力シート!L9),"親子リレーかどうか確認してください",計算シート!C53&amp;"　年")</f>
        <v>35　年</v>
      </c>
      <c r="K11" s="319"/>
      <c r="L11" s="118"/>
      <c r="M11" s="322"/>
      <c r="N11" s="323"/>
      <c r="O11" s="117"/>
    </row>
    <row r="12" spans="1:15" ht="26.25" customHeight="1" thickBot="1">
      <c r="A12" s="315"/>
      <c r="B12" s="769" t="s">
        <v>13</v>
      </c>
      <c r="C12" s="770"/>
      <c r="D12" s="771"/>
      <c r="E12" s="760" t="s">
        <v>6</v>
      </c>
      <c r="F12" s="868"/>
      <c r="G12" s="864"/>
      <c r="H12" s="865"/>
      <c r="I12" s="869" t="s">
        <v>14</v>
      </c>
      <c r="J12" s="868" t="s">
        <v>8</v>
      </c>
      <c r="K12" s="868"/>
      <c r="L12" s="871"/>
      <c r="M12" s="872"/>
      <c r="N12" s="492" t="s">
        <v>14</v>
      </c>
      <c r="O12" s="117">
        <f>IF(L12="",0,1)</f>
        <v>0</v>
      </c>
    </row>
    <row r="13" spans="1:15" ht="26.25" customHeight="1" thickBot="1">
      <c r="A13" s="315"/>
      <c r="B13" s="653"/>
      <c r="C13" s="654"/>
      <c r="D13" s="655"/>
      <c r="E13" s="762"/>
      <c r="F13" s="782"/>
      <c r="G13" s="866"/>
      <c r="H13" s="867"/>
      <c r="I13" s="870"/>
      <c r="J13" s="878" t="s">
        <v>15</v>
      </c>
      <c r="K13" s="879"/>
      <c r="L13" s="879"/>
      <c r="M13" s="879"/>
      <c r="N13" s="880"/>
      <c r="O13" s="117">
        <f>IF(L13="",0,1)</f>
        <v>0</v>
      </c>
    </row>
    <row r="14" spans="1:15" ht="26.25" customHeight="1" thickBot="1">
      <c r="A14" s="315"/>
      <c r="B14" s="971"/>
      <c r="C14" s="972"/>
      <c r="D14" s="973"/>
      <c r="E14" s="325"/>
      <c r="F14" s="326"/>
      <c r="G14" s="882"/>
      <c r="H14" s="882"/>
      <c r="I14" s="977">
        <f>計算シート!H42+計算シート!H43</f>
        <v>0</v>
      </c>
      <c r="J14" s="977"/>
      <c r="K14" s="324" t="s">
        <v>14</v>
      </c>
      <c r="L14" s="327" t="s">
        <v>16</v>
      </c>
      <c r="M14" s="327"/>
      <c r="N14" s="328"/>
      <c r="O14" s="117"/>
    </row>
    <row r="15" spans="1:15" ht="26.25" customHeight="1" thickBot="1">
      <c r="A15" s="315"/>
      <c r="B15" s="978" t="s">
        <v>17</v>
      </c>
      <c r="C15" s="979"/>
      <c r="D15" s="979"/>
      <c r="E15" s="883" t="s">
        <v>6</v>
      </c>
      <c r="F15" s="882"/>
      <c r="G15" s="886"/>
      <c r="H15" s="887"/>
      <c r="I15" s="493" t="s">
        <v>14</v>
      </c>
      <c r="J15" s="882" t="s">
        <v>8</v>
      </c>
      <c r="K15" s="882"/>
      <c r="L15" s="886"/>
      <c r="M15" s="887"/>
      <c r="N15" s="493" t="s">
        <v>14</v>
      </c>
      <c r="O15" s="117"/>
    </row>
    <row r="16" spans="1:15" ht="26.25" customHeight="1">
      <c r="A16" s="315"/>
      <c r="B16" s="899" t="s">
        <v>18</v>
      </c>
      <c r="C16" s="900"/>
      <c r="D16" s="900"/>
      <c r="E16" s="494"/>
      <c r="F16" s="495"/>
      <c r="G16" s="882" t="s">
        <v>19</v>
      </c>
      <c r="H16" s="882"/>
      <c r="I16" s="868"/>
      <c r="J16" s="884" t="s">
        <v>20</v>
      </c>
      <c r="K16" s="884"/>
      <c r="L16" s="885"/>
      <c r="M16" s="327"/>
      <c r="N16" s="491"/>
      <c r="O16" s="117"/>
    </row>
    <row r="17" spans="2:15">
      <c r="B17" s="496"/>
      <c r="C17" s="496"/>
      <c r="D17" s="496"/>
      <c r="E17" s="496"/>
      <c r="F17" s="496"/>
      <c r="G17" s="496"/>
      <c r="H17" s="496"/>
      <c r="I17" s="292" t="str">
        <f>IF(計算シート!H21&gt;0,"",IF(OR(K18="Ｓ（ＺＥＨ）",K18="Ｓ（Ａプラン）",K18="リノベ（Ａプラン）"),IF(AND(OR(K18="Ｓ（ＺＥＨ）",K18="Ｓ（Ａプラン）"),NOT(K19="長期優良住宅")),"フラット５０のため、長期優良住宅にしてください",""),"フラット５０のためＡプラン以上にしてください"))</f>
        <v/>
      </c>
      <c r="J17" s="315"/>
      <c r="K17" s="315"/>
      <c r="L17" s="330"/>
      <c r="M17" s="496"/>
      <c r="N17" s="497"/>
      <c r="O17" s="315" t="str">
        <f>IF(計算シート!M7=TRUE,"","ポイント")</f>
        <v>ポイント</v>
      </c>
    </row>
    <row r="18" spans="2:15" ht="26.25" customHeight="1">
      <c r="B18" s="873" t="s">
        <v>21</v>
      </c>
      <c r="C18" s="874"/>
      <c r="D18" s="874"/>
      <c r="E18" s="874"/>
      <c r="F18" s="874"/>
      <c r="G18" s="875"/>
      <c r="H18" s="119"/>
      <c r="I18" s="890" t="s">
        <v>22</v>
      </c>
      <c r="J18" s="1180"/>
      <c r="K18" s="1181"/>
      <c r="L18" s="1182"/>
      <c r="M18" s="1182"/>
      <c r="N18" s="331" t="str">
        <f>IF(K18="","",VLOOKUP(K18,ポイントメニュー!A2:B8,2,FALSE))</f>
        <v/>
      </c>
      <c r="O18" s="498" t="s">
        <v>23</v>
      </c>
    </row>
    <row r="19" spans="2:15" ht="26.25" customHeight="1">
      <c r="B19" s="901" t="s">
        <v>24</v>
      </c>
      <c r="C19" s="902"/>
      <c r="D19" s="332">
        <f>計算シート!C15</f>
        <v>1.23E-2</v>
      </c>
      <c r="E19" s="333"/>
      <c r="F19" s="332">
        <f>計算シート!D15</f>
        <v>1.44E-2</v>
      </c>
      <c r="G19" s="334"/>
      <c r="H19" s="315"/>
      <c r="I19" s="890" t="s">
        <v>25</v>
      </c>
      <c r="J19" s="1180"/>
      <c r="K19" s="1183"/>
      <c r="L19" s="1184"/>
      <c r="M19" s="1185"/>
      <c r="N19" s="301" t="str">
        <f>IF(K19="","",IF(OR(入力シート!K18=ポイントメニュー!A6,入力シート!K18=ポイントメニュー!A7,入力シート!K18=ポイントメニュー!A8),0,VLOOKUP(K19,ポイントメニュー!A11:B17,2,FALSE)))</f>
        <v/>
      </c>
      <c r="O19" s="303">
        <f>SUM(N18:N20)</f>
        <v>0</v>
      </c>
    </row>
    <row r="20" spans="2:15" ht="26.25" customHeight="1">
      <c r="B20" s="876" t="s">
        <v>26</v>
      </c>
      <c r="C20" s="877"/>
      <c r="D20" s="332">
        <f>計算シート!C16</f>
        <v>1.6199999999999999E-2</v>
      </c>
      <c r="E20" s="333"/>
      <c r="F20" s="888" t="s">
        <v>27</v>
      </c>
      <c r="G20" s="889"/>
      <c r="H20" s="315"/>
      <c r="I20" s="890" t="s">
        <v>28</v>
      </c>
      <c r="J20" s="1180"/>
      <c r="K20" s="1183"/>
      <c r="L20" s="1186"/>
      <c r="M20" s="1186"/>
      <c r="N20" s="302" t="str">
        <f>IF(K20="","",VLOOKUP(K20,ポイントメニュー!A20:B24,2,FALSE))</f>
        <v/>
      </c>
      <c r="O20" s="304" t="str">
        <f>IF(N20="","",IF(AND(OR(入力シート!N18=0,入力シート!N18=""),OR(入力シート!M22=0,入力シート!M22=""),OR(入力シート!M23=0,入力シート!M23=""),OR(入力シート!N19=0,入力シート!N19=""),入力シート!K20=ポイントメニュー!A23),"単独",""))</f>
        <v/>
      </c>
    </row>
    <row r="21" spans="2:15" ht="26.25" customHeight="1">
      <c r="B21" s="893" t="s">
        <v>29</v>
      </c>
      <c r="C21" s="894"/>
      <c r="D21" s="332">
        <f>計算シート!C9</f>
        <v>1.72E-2</v>
      </c>
      <c r="E21" s="335"/>
      <c r="F21" s="332">
        <f>計算シート!D17</f>
        <v>1.49E-2</v>
      </c>
      <c r="G21" s="336"/>
      <c r="H21" s="315"/>
      <c r="I21" s="337"/>
      <c r="J21" s="881" t="str">
        <f>IF(計算シート!M7=TRUE,"",IF(OR($K$18=ポイントメニュー!$A$6,$K$18=ポイントメニュー!$A$7,$K$18=ポイントメニュー!$A$8),IF(計算シート!H21=0,"リノベは維持保全型と併用できませんが、フラット５０のため長期優良住宅である必要があります。","リノベは維持保全型と併用できません。"),""))</f>
        <v/>
      </c>
      <c r="K21" s="881"/>
      <c r="L21" s="881"/>
      <c r="M21" s="881"/>
      <c r="N21" s="1191"/>
      <c r="O21" s="499" t="s">
        <v>30</v>
      </c>
    </row>
    <row r="22" spans="2:15" ht="26.25" customHeight="1">
      <c r="B22" s="338"/>
      <c r="C22" s="338"/>
      <c r="D22" s="617" t="s">
        <v>669</v>
      </c>
      <c r="E22" s="311" t="s">
        <v>31</v>
      </c>
      <c r="F22" s="500" t="s">
        <v>32</v>
      </c>
      <c r="G22" s="315"/>
      <c r="H22" s="315"/>
      <c r="I22" s="893" t="s">
        <v>33</v>
      </c>
      <c r="J22" s="1190"/>
      <c r="K22" s="1190"/>
      <c r="L22" s="1190"/>
      <c r="M22" s="308"/>
      <c r="N22" t="s">
        <v>34</v>
      </c>
      <c r="O22" s="307" t="s">
        <v>35</v>
      </c>
    </row>
    <row r="23" spans="2:15" ht="26.25" customHeight="1">
      <c r="B23" s="338"/>
      <c r="C23" s="338"/>
      <c r="D23" s="485" t="s">
        <v>36</v>
      </c>
      <c r="E23" s="311" t="s">
        <v>37</v>
      </c>
      <c r="F23" s="500" t="s">
        <v>32</v>
      </c>
      <c r="G23" s="315"/>
      <c r="H23" s="315"/>
      <c r="I23" s="893" t="s">
        <v>38</v>
      </c>
      <c r="J23" s="1190"/>
      <c r="K23" s="1190"/>
      <c r="L23" s="1190"/>
      <c r="M23" s="339"/>
      <c r="N23" s="315"/>
      <c r="O23" s="340">
        <f>ポイントメニュー!E8</f>
        <v>0</v>
      </c>
    </row>
    <row r="24" spans="2:15" ht="26.25" customHeight="1">
      <c r="B24" s="315"/>
      <c r="C24" s="315"/>
      <c r="D24" s="315"/>
      <c r="E24" s="315"/>
      <c r="F24" s="5"/>
      <c r="G24" s="315"/>
      <c r="H24" s="315"/>
      <c r="I24" s="1187" t="str">
        <f>IF(ポイントメニュー!E8=0,"金利引下げなし","左記より"&amp;IF(OR(ポイントメニュー!G22="",ポイントメニュー!G22=0),ポイントメニュー!D21&amp;ポイントメニュー!E21&amp;ポイントメニュー!F21&amp;ポイントメニュー!G21&amp;ポイントメニュー!H21,ポイントメニュー!D21&amp;ポイントメニュー!E21&amp;ポイントメニュー!F21&amp;ポイントメニュー!G21&amp;ポイントメニュー!H21&amp;ポイントメニュー!D22&amp;ポイントメニュー!E22&amp;ポイントメニュー!F22&amp;ポイントメニュー!G22&amp;ポイントメニュー!H22))</f>
        <v>金利引下げなし</v>
      </c>
      <c r="J24" s="1188"/>
      <c r="K24" s="1188"/>
      <c r="L24" s="1188"/>
      <c r="M24" s="1188"/>
      <c r="N24" s="1188"/>
      <c r="O24" s="1189"/>
    </row>
    <row r="25" spans="2:15" ht="9.9499999999999993" customHeight="1">
      <c r="B25" s="315"/>
      <c r="C25" s="315"/>
      <c r="D25" s="315"/>
      <c r="E25" s="315"/>
      <c r="F25" s="5"/>
      <c r="G25" s="315"/>
      <c r="H25" s="315"/>
      <c r="I25" s="315"/>
      <c r="J25" s="315"/>
      <c r="K25" s="315"/>
      <c r="L25" s="315"/>
      <c r="M25" s="315"/>
      <c r="N25" s="315"/>
      <c r="O25" s="315"/>
    </row>
    <row r="26" spans="2:15" ht="27.75" customHeight="1">
      <c r="B26" s="890" t="s">
        <v>39</v>
      </c>
      <c r="C26" s="891"/>
      <c r="D26" s="892"/>
      <c r="E26" s="315"/>
      <c r="F26" s="915" t="s">
        <v>40</v>
      </c>
      <c r="G26" s="916"/>
      <c r="H26" s="501"/>
      <c r="I26" s="895" t="s">
        <v>41</v>
      </c>
      <c r="J26" s="895"/>
      <c r="K26" s="342"/>
      <c r="L26" s="342" t="s">
        <v>42</v>
      </c>
      <c r="M26" s="343"/>
      <c r="N26" s="342"/>
      <c r="O26" s="344"/>
    </row>
    <row r="27" spans="2:15" ht="27.75" customHeight="1">
      <c r="B27" s="911" t="s">
        <v>43</v>
      </c>
      <c r="C27" s="912"/>
      <c r="D27" s="913"/>
      <c r="E27" s="315"/>
      <c r="F27" s="917"/>
      <c r="G27" s="918"/>
      <c r="H27" s="345"/>
      <c r="I27" s="914" t="str">
        <f>IF(計算シート!H21&gt;1,"一般　(65以下)","一般　(70未満)")</f>
        <v>一般　(70未満)</v>
      </c>
      <c r="J27" s="914"/>
      <c r="K27" s="502"/>
      <c r="L27" s="907" t="str">
        <f>IF(計算シート!H21&gt;1,"全疾病　(65以下、+0.05)","３大疾病　(51未満、+0.24)")</f>
        <v>３大疾病　(51未満、+0.24)</v>
      </c>
      <c r="M27" s="907"/>
      <c r="N27" s="907"/>
      <c r="O27" s="908"/>
    </row>
    <row r="28" spans="2:15" ht="27.75" customHeight="1">
      <c r="B28" s="922" t="str">
        <f>IF(計算シート!H21=2,"自己資金２０％以上",IF(計算シート!H21=3,"自己資金１０％以上",IF(計算シート!H21=0,"長期優良住宅","")))</f>
        <v/>
      </c>
      <c r="C28" s="923"/>
      <c r="D28" s="924"/>
      <c r="E28" s="315"/>
      <c r="F28" s="903" t="str">
        <f>IF(計算シート!H21&gt;1,"がん団信はいずれも５０歳以下です","")</f>
        <v/>
      </c>
      <c r="G28" s="904"/>
      <c r="H28" s="346"/>
      <c r="I28" s="896" t="str">
        <f>IF(計算シート!H21&gt;1,計算シート!L21&amp;"(+0.1)","")</f>
        <v/>
      </c>
      <c r="J28" s="896"/>
      <c r="K28" s="347"/>
      <c r="L28" s="897" t="str">
        <f>IF(計算シート!H21&gt;1,計算シート!L22&amp;"(+0.2)","")</f>
        <v/>
      </c>
      <c r="M28" s="897"/>
      <c r="N28" s="897"/>
      <c r="O28" s="898"/>
    </row>
    <row r="29" spans="2:15" ht="27.75" customHeight="1">
      <c r="B29" s="919" t="str">
        <f>IF(計算シート!H21=3,"返済比率２０％以下",IF(計算シート!H21=0,"金利Ａプラン以上",""))</f>
        <v/>
      </c>
      <c r="C29" s="920"/>
      <c r="D29" s="921"/>
      <c r="E29" s="315"/>
      <c r="F29" s="905"/>
      <c r="G29" s="906"/>
      <c r="H29" s="503"/>
      <c r="I29" s="895" t="s">
        <v>44</v>
      </c>
      <c r="J29" s="895"/>
      <c r="K29" s="348"/>
      <c r="L29" s="909" t="str">
        <f>IF(計算シート!H21&gt;1,"","夫婦お二人で加入([デュエット] +0.18)")</f>
        <v>夫婦お二人で加入([デュエット] +0.18)</v>
      </c>
      <c r="M29" s="909"/>
      <c r="N29" s="909"/>
      <c r="O29" s="910"/>
    </row>
    <row r="30" spans="2:15" ht="27.75" customHeight="1">
      <c r="B30" s="881" t="str">
        <f>IF(計算シート!H21&gt;0,"",IF(OR(AND(OR(K18="Ｓ（ＺＥＨ）",K18="Ｓ（Ａプラン）"),K19="長期優良住宅"),K18="リノベ（Ａプラン）"),"",IF(OR(K18="Ｓ（ＺＥＨ）",K18="Ｓ（Ａプラン）"),"右上の「維持保全」を「長期優良住宅」にしてください","右上の「住宅性能」を「Ａプラン以上」にしてください")))</f>
        <v/>
      </c>
      <c r="C30" s="881"/>
      <c r="D30" s="881"/>
      <c r="E30" s="315"/>
      <c r="F30" s="855" t="str">
        <f>IF(計算シート!H95=2,"住宅金融支援機構は団体信用生命保険へのご加入を強くおすすめしております。",IF(AND(計算シート!H21&gt;1,計算シート!H97=2),"「保証型」の団体信用生命保険はお一人しか加入できません。",IF(AND(計算シート!H21&lt;=1,計算シート!H96&gt;2),"正しい団体信用生命保険の種類を選んでください。",IF(AND(計算シート!H95=1,計算シート!H21&lt;=1,計算シート!H96=2,計算シート!H97=2),"「3大疾病」をご利用の際には「デュエット」をご利用できませんので再設定下さい。",""))))</f>
        <v/>
      </c>
      <c r="G30" s="855"/>
      <c r="H30" s="855"/>
      <c r="I30" s="855"/>
      <c r="J30" s="855"/>
      <c r="K30" s="855"/>
      <c r="L30" s="855"/>
      <c r="M30" s="855"/>
      <c r="N30" s="855"/>
      <c r="O30" s="855"/>
    </row>
    <row r="31" spans="2:15" ht="27.75" customHeight="1">
      <c r="B31" s="120" t="s">
        <v>45</v>
      </c>
      <c r="C31" s="315"/>
      <c r="D31" s="315"/>
      <c r="E31" s="315"/>
      <c r="F31" s="5"/>
      <c r="G31" s="315"/>
      <c r="H31" s="315"/>
      <c r="I31" s="315"/>
      <c r="J31" s="315"/>
      <c r="K31" s="315"/>
      <c r="L31" s="315"/>
      <c r="M31" s="315"/>
      <c r="N31" s="315"/>
      <c r="O31" s="315"/>
    </row>
    <row r="32" spans="2:15" ht="27.75" customHeight="1">
      <c r="B32" s="861" t="s">
        <v>46</v>
      </c>
      <c r="C32" s="862"/>
      <c r="D32" s="862"/>
      <c r="E32" s="862"/>
      <c r="F32" s="862"/>
      <c r="G32" s="862"/>
      <c r="H32" s="862"/>
      <c r="I32" s="862"/>
      <c r="J32" s="862"/>
      <c r="K32" s="862"/>
      <c r="L32" s="862"/>
      <c r="M32" s="862"/>
      <c r="N32" s="863"/>
      <c r="O32" s="315"/>
    </row>
    <row r="33" spans="1:15" ht="27.75" customHeight="1">
      <c r="A33" s="315"/>
      <c r="B33" s="621" t="str">
        <f>IF(計算シート!H21=1,"２０年以下",IF(計算シート!H21&gt;1,"保証型",""))</f>
        <v>２０年以下</v>
      </c>
      <c r="C33" s="622"/>
      <c r="D33" s="620">
        <f>IF(計算シート!H21=1,計算シート!C15+計算シート!H106+計算シート!C86-計算シート!C23,"")</f>
        <v>1.43E-2</v>
      </c>
      <c r="E33" s="620"/>
      <c r="F33" s="657" t="str">
        <f>IF(計算シート!M8=0,"金利引下げなし","左記より"&amp;計算シート!L8&amp;計算シート!M8&amp;計算シート!N8&amp;計算シート!M9&amp;計算シート!N9)</f>
        <v>金利引下げなし</v>
      </c>
      <c r="G33" s="657"/>
      <c r="H33" s="657"/>
      <c r="I33" s="657"/>
      <c r="J33" s="658"/>
      <c r="K33" s="644" t="s">
        <v>47</v>
      </c>
      <c r="L33" s="645"/>
      <c r="M33" s="620">
        <f>IF(計算シート!H21=1,計算シート!C15+計算シート!M15+計算シート!C86-計算シート!C23,"")</f>
        <v>1.43E-2</v>
      </c>
      <c r="N33" s="858"/>
      <c r="O33" s="315"/>
    </row>
    <row r="34" spans="1:15" ht="27.75" customHeight="1">
      <c r="A34" s="315"/>
      <c r="B34" s="621" t="str">
        <f>IF(計算シート!H21=0,"",IF(計算シート!H21&gt;1,"８０％以下","２０年超"))</f>
        <v>２０年超</v>
      </c>
      <c r="C34" s="622"/>
      <c r="D34" s="620">
        <f>IF(計算シート!H21=0,"",IF(計算シート!C81=1,計算シート!C86,0)+計算シート!C16+計算シート!H106+IF(計算シート!H21&gt;1,-計算シート!H22,0))</f>
        <v>1.8200000000000001E-2</v>
      </c>
      <c r="E34" s="620"/>
      <c r="F34" s="659" t="str">
        <f>IF(計算シート!M11=0,"",計算シート!L11&amp;計算シート!M11&amp;計算シート!N11&amp;計算シート!M12&amp;計算シート!N12)</f>
        <v/>
      </c>
      <c r="G34" s="659"/>
      <c r="H34" s="659"/>
      <c r="I34" s="659"/>
      <c r="J34" s="660"/>
      <c r="K34" s="646"/>
      <c r="L34" s="647"/>
      <c r="M34" s="620">
        <f>IF(計算シート!H21=0,"",IF(計算シート!C81=1,計算シート!C86,0)+計算シート!C16+計算シート!M15+IF(計算シート!H21&gt;1,-計算シート!H22,0))</f>
        <v>1.8200000000000001E-2</v>
      </c>
      <c r="N34" s="858"/>
      <c r="O34" s="315"/>
    </row>
    <row r="35" spans="1:15" ht="27.75" customHeight="1">
      <c r="A35" s="315"/>
      <c r="B35" s="634" t="str">
        <f>IF(計算シート!H21=0,"３６年超",IF(計算シート!H21&gt;1,"９０％以下",""))</f>
        <v/>
      </c>
      <c r="C35" s="635"/>
      <c r="D35" s="620" t="str">
        <f>IF(計算シート!H21&lt;=0,計算シート!C17+計算シート!H106,IF(計算シート!H21&gt;1,D34+計算シート!H22-計算シート!H23,""))</f>
        <v/>
      </c>
      <c r="E35" s="620"/>
      <c r="F35" s="279"/>
      <c r="G35" s="279"/>
      <c r="H35" s="279"/>
      <c r="I35" s="856"/>
      <c r="J35" s="857"/>
      <c r="K35" s="648"/>
      <c r="L35" s="649"/>
      <c r="M35" s="620" t="str">
        <f>IF(計算シート!H21&lt;=0,計算シート!C17+計算シート!M15,IF(計算シート!H21&gt;1,計算シート!C16+計算シート!M15+計算シート!H23-計算シート!H22,""))</f>
        <v/>
      </c>
      <c r="N35" s="858"/>
      <c r="O35" s="315"/>
    </row>
    <row r="36" spans="1:15" ht="28.5" customHeight="1">
      <c r="A36" s="315"/>
      <c r="B36" s="315"/>
      <c r="C36" s="315"/>
      <c r="D36" s="315"/>
      <c r="E36" s="315"/>
      <c r="F36" s="860" t="str">
        <f>IF(計算シート!H18=2,"↓　↓　元金均等です　↓　　↓","")</f>
        <v/>
      </c>
      <c r="G36" s="860"/>
      <c r="H36" s="860"/>
      <c r="I36" s="860"/>
      <c r="J36" s="860"/>
      <c r="K36" s="860"/>
      <c r="L36" s="315"/>
      <c r="M36" s="315"/>
      <c r="N36" s="315"/>
      <c r="O36" s="315"/>
    </row>
    <row r="37" spans="1:15" s="121" customFormat="1" ht="26.25" customHeight="1">
      <c r="A37" s="259"/>
      <c r="B37" s="861" t="s">
        <v>48</v>
      </c>
      <c r="C37" s="862"/>
      <c r="D37" s="862"/>
      <c r="E37" s="862"/>
      <c r="F37" s="862"/>
      <c r="G37" s="862"/>
      <c r="H37" s="862"/>
      <c r="I37" s="862"/>
      <c r="J37" s="862"/>
      <c r="K37" s="862"/>
      <c r="L37" s="862"/>
      <c r="M37" s="862"/>
      <c r="N37" s="863"/>
      <c r="O37" s="259"/>
    </row>
    <row r="38" spans="1:15" s="121" customFormat="1" ht="26.25" customHeight="1">
      <c r="A38" s="259"/>
      <c r="B38" s="663" t="s">
        <v>49</v>
      </c>
      <c r="C38" s="664"/>
      <c r="D38" s="664"/>
      <c r="E38" s="664"/>
      <c r="F38" s="638">
        <f>IF(計算シート!H18=1,計算シート!H62,計算シート!M62)</f>
        <v>0</v>
      </c>
      <c r="G38" s="638"/>
      <c r="H38" s="663" t="s">
        <v>50</v>
      </c>
      <c r="I38" s="664"/>
      <c r="J38" s="664"/>
      <c r="K38" s="664"/>
      <c r="L38" s="504"/>
      <c r="M38" s="638">
        <f>IF(計算シート!H18=1,計算シート!H64,計算シート!M64)</f>
        <v>0</v>
      </c>
      <c r="N38" s="859"/>
      <c r="O38" s="259"/>
    </row>
    <row r="39" spans="1:15" s="121" customFormat="1" ht="26.25" customHeight="1">
      <c r="A39" s="259"/>
      <c r="B39" s="663" t="s">
        <v>51</v>
      </c>
      <c r="C39" s="664"/>
      <c r="D39" s="664"/>
      <c r="E39" s="664"/>
      <c r="F39" s="638">
        <f>IF(計算シート!H18=1,計算シート!H66,計算シート!M66)</f>
        <v>0</v>
      </c>
      <c r="G39" s="638"/>
      <c r="H39" s="663" t="s">
        <v>52</v>
      </c>
      <c r="I39" s="664"/>
      <c r="J39" s="664"/>
      <c r="K39" s="664"/>
      <c r="L39" s="504"/>
      <c r="M39" s="638">
        <f>IF(計算シート!H18=1,計算シート!H68,計算シート!M68)</f>
        <v>0</v>
      </c>
      <c r="N39" s="859"/>
      <c r="O39" s="259"/>
    </row>
    <row r="40" spans="1:15" s="121" customFormat="1" ht="26.25" customHeight="1">
      <c r="A40" s="259"/>
      <c r="B40" s="663" t="s">
        <v>53</v>
      </c>
      <c r="C40" s="664"/>
      <c r="D40" s="664"/>
      <c r="E40" s="504" t="str">
        <f>計算シート!H54&amp;"年"</f>
        <v>50年</v>
      </c>
      <c r="F40" s="638">
        <f>IF(計算シート!H18=1,計算シート!H70,計算シート!M70)</f>
        <v>0</v>
      </c>
      <c r="G40" s="638"/>
      <c r="H40" s="636" t="s">
        <v>54</v>
      </c>
      <c r="I40" s="637"/>
      <c r="J40" s="637"/>
      <c r="K40" s="637"/>
      <c r="L40" s="505" t="str">
        <f>計算シート!H54&amp;"年"</f>
        <v>50年</v>
      </c>
      <c r="M40" s="661">
        <f>IF(計算シート!H18=1,計算シート!H72,"")</f>
        <v>0</v>
      </c>
      <c r="N40" s="662"/>
      <c r="O40" s="259"/>
    </row>
    <row r="41" spans="1:15" s="121" customFormat="1" ht="26.25" customHeight="1">
      <c r="A41" s="259"/>
      <c r="B41" s="506"/>
      <c r="C41" s="506"/>
      <c r="D41" s="506"/>
      <c r="E41" s="506"/>
      <c r="F41" s="506"/>
      <c r="G41" s="506"/>
      <c r="H41" s="623" t="s">
        <v>55</v>
      </c>
      <c r="I41" s="624"/>
      <c r="J41" s="624"/>
      <c r="K41" s="624"/>
      <c r="L41" s="310" t="str">
        <f>計算シート!C61&amp;"年"</f>
        <v>35年</v>
      </c>
      <c r="M41" s="625">
        <f>IF(計算シート!H18=1,計算シート!C67,"")</f>
        <v>0</v>
      </c>
      <c r="N41" s="626"/>
      <c r="O41" s="259"/>
    </row>
    <row r="42" spans="1:15" s="121" customFormat="1" ht="26.25" customHeight="1">
      <c r="A42" s="259"/>
      <c r="B42" s="349"/>
      <c r="C42" s="349"/>
      <c r="D42" s="349"/>
      <c r="E42" s="349"/>
      <c r="F42" s="349"/>
      <c r="G42" s="349"/>
      <c r="H42" s="506"/>
      <c r="I42" s="506"/>
      <c r="J42" s="506"/>
      <c r="K42" s="506"/>
      <c r="L42" s="506"/>
      <c r="M42" s="506"/>
      <c r="N42" s="506"/>
      <c r="O42" s="259"/>
    </row>
    <row r="43" spans="1:15" ht="27.75" customHeight="1">
      <c r="A43" s="822" t="s">
        <v>56</v>
      </c>
      <c r="B43" s="822"/>
      <c r="C43" s="822"/>
      <c r="D43" s="822"/>
      <c r="E43" s="122" t="s">
        <v>3</v>
      </c>
      <c r="F43" s="350" t="s">
        <v>57</v>
      </c>
      <c r="G43" s="351"/>
      <c r="H43" s="351"/>
      <c r="I43" s="351"/>
      <c r="J43" s="351"/>
      <c r="K43" s="351"/>
      <c r="L43" s="351"/>
      <c r="M43" s="351"/>
      <c r="N43" s="351"/>
      <c r="O43" s="351"/>
    </row>
    <row r="44" spans="1:15" s="121" customFormat="1" ht="12.75" customHeight="1" thickBot="1">
      <c r="A44" s="259"/>
      <c r="B44" s="115"/>
      <c r="C44" s="259"/>
      <c r="D44" s="259"/>
      <c r="E44" s="259"/>
      <c r="F44" s="259"/>
      <c r="G44" s="259"/>
      <c r="H44" s="259"/>
      <c r="I44" s="259"/>
      <c r="J44" s="633" t="s">
        <v>58</v>
      </c>
      <c r="K44" s="633"/>
      <c r="L44" s="259"/>
      <c r="M44" s="259"/>
      <c r="N44" s="259"/>
      <c r="O44" s="259"/>
    </row>
    <row r="45" spans="1:15" s="121" customFormat="1" ht="26.25" customHeight="1" thickBot="1">
      <c r="A45" s="259"/>
      <c r="B45" s="650" t="s">
        <v>59</v>
      </c>
      <c r="C45" s="651"/>
      <c r="D45" s="652"/>
      <c r="E45" s="1145" t="s">
        <v>60</v>
      </c>
      <c r="F45" s="1146"/>
      <c r="G45" s="656">
        <f>IF(J45="",資金計画!E7,J45*10000)</f>
        <v>0</v>
      </c>
      <c r="H45" s="656"/>
      <c r="I45" s="507" t="s">
        <v>61</v>
      </c>
      <c r="J45" s="618"/>
      <c r="K45" s="619"/>
      <c r="L45" s="508"/>
      <c r="M45" s="508"/>
      <c r="N45" s="509"/>
      <c r="O45" s="259"/>
    </row>
    <row r="46" spans="1:15" s="121" customFormat="1" ht="26.25" customHeight="1" thickBot="1">
      <c r="A46" s="259"/>
      <c r="B46" s="653"/>
      <c r="C46" s="654"/>
      <c r="D46" s="655"/>
      <c r="E46" s="1105" t="s">
        <v>62</v>
      </c>
      <c r="F46" s="1147"/>
      <c r="G46" s="656">
        <f>IF(J46="",資金計画!E8,J46*10000)</f>
        <v>0</v>
      </c>
      <c r="H46" s="656"/>
      <c r="I46" s="507" t="s">
        <v>61</v>
      </c>
      <c r="J46" s="618"/>
      <c r="K46" s="619"/>
      <c r="L46" s="508"/>
      <c r="M46" s="508"/>
      <c r="N46" s="509"/>
      <c r="O46" s="259"/>
    </row>
    <row r="47" spans="1:15" s="121" customFormat="1" ht="26.25" customHeight="1" thickBot="1">
      <c r="A47" s="259"/>
      <c r="B47" s="653"/>
      <c r="C47" s="654"/>
      <c r="D47" s="655"/>
      <c r="E47" s="1145" t="s">
        <v>63</v>
      </c>
      <c r="F47" s="1147"/>
      <c r="G47" s="656">
        <f>IF(J47="",資金計画!E9,J47*10000)</f>
        <v>0</v>
      </c>
      <c r="H47" s="656"/>
      <c r="I47" s="507" t="s">
        <v>61</v>
      </c>
      <c r="J47" s="618"/>
      <c r="K47" s="619"/>
      <c r="L47" s="508"/>
      <c r="M47" s="508"/>
      <c r="N47" s="509"/>
      <c r="O47" s="259"/>
    </row>
    <row r="48" spans="1:15" s="121" customFormat="1" ht="26.25" customHeight="1" thickBot="1">
      <c r="A48" s="259"/>
      <c r="B48" s="653"/>
      <c r="C48" s="654"/>
      <c r="D48" s="655"/>
      <c r="E48" s="1105" t="s">
        <v>64</v>
      </c>
      <c r="F48" s="1147"/>
      <c r="G48" s="656">
        <f>IF(J48="",資金計画!E30,J48*10000)</f>
        <v>0</v>
      </c>
      <c r="H48" s="656"/>
      <c r="I48" s="507" t="s">
        <v>61</v>
      </c>
      <c r="J48" s="618"/>
      <c r="K48" s="619"/>
      <c r="L48" s="641"/>
      <c r="M48" s="642"/>
      <c r="N48" s="643"/>
      <c r="O48" s="259"/>
    </row>
    <row r="49" spans="2:15" s="121" customFormat="1" ht="26.25" customHeight="1">
      <c r="B49" s="1162" t="s">
        <v>65</v>
      </c>
      <c r="C49" s="1163"/>
      <c r="D49" s="1164"/>
      <c r="E49" s="782" t="s">
        <v>66</v>
      </c>
      <c r="F49" s="782"/>
      <c r="G49" s="1155">
        <f>SUM(G45:H48)</f>
        <v>0</v>
      </c>
      <c r="H49" s="1155"/>
      <c r="I49" s="326" t="s">
        <v>67</v>
      </c>
      <c r="J49" s="354"/>
      <c r="K49" s="354"/>
      <c r="L49" s="354"/>
      <c r="M49" s="355"/>
      <c r="N49" s="356"/>
      <c r="O49" s="259"/>
    </row>
    <row r="50" spans="2:15" s="121" customFormat="1" ht="29.25" customHeight="1" thickBot="1">
      <c r="B50" s="123"/>
      <c r="C50" s="123"/>
      <c r="D50" s="123"/>
      <c r="E50" s="315"/>
      <c r="F50" s="259"/>
      <c r="G50" s="357"/>
      <c r="H50" s="259"/>
      <c r="I50" s="259"/>
      <c r="J50" s="259"/>
      <c r="K50" s="205"/>
      <c r="L50" s="192" t="str">
        <f>IF(計算シート!C80=TRUE,"右のチェックにより"&amp;IF(計算シート!C81=0.9,"９割","MAX(10割)"),"資金計画より"&amp;IF(資金計画!U5=1,"９割","MAX(10割)"))&amp;"にて試算中  "</f>
        <v xml:space="preserve">資金計画より９割にて試算中  </v>
      </c>
      <c r="M50" s="665" t="s">
        <v>68</v>
      </c>
      <c r="N50" s="666"/>
      <c r="O50" s="259"/>
    </row>
    <row r="51" spans="2:15" s="121" customFormat="1" ht="26.25" customHeight="1" thickBot="1">
      <c r="B51" s="1142" t="s">
        <v>69</v>
      </c>
      <c r="C51" s="754" t="s">
        <v>70</v>
      </c>
      <c r="D51" s="755"/>
      <c r="E51" s="1165" t="s">
        <v>71</v>
      </c>
      <c r="F51" s="1166"/>
      <c r="G51" s="832"/>
      <c r="H51" s="833"/>
      <c r="I51" s="358" t="s">
        <v>72</v>
      </c>
      <c r="J51" s="359"/>
      <c r="K51" s="359"/>
      <c r="L51" s="639" t="str">
        <f>IF(計算シート!H21=0,"36　～　"&amp;計算シート!H54&amp;"　年",計算シート!C54&amp;"　～　"&amp;計算シート!C53&amp;"　年")</f>
        <v>15　～　35　年</v>
      </c>
      <c r="M51" s="639"/>
      <c r="N51" s="640"/>
      <c r="O51" s="27"/>
    </row>
    <row r="52" spans="2:15" s="121" customFormat="1" ht="26.25" customHeight="1" thickBot="1">
      <c r="B52" s="1143"/>
      <c r="C52" s="756"/>
      <c r="D52" s="757"/>
      <c r="E52" s="1195" t="s">
        <v>73</v>
      </c>
      <c r="F52" s="1196"/>
      <c r="G52" s="1167">
        <f>IF(J52="",資金計画!K22,J52)</f>
        <v>1</v>
      </c>
      <c r="H52" s="1167"/>
      <c r="I52" s="360" t="s">
        <v>14</v>
      </c>
      <c r="J52" s="841"/>
      <c r="K52" s="842"/>
      <c r="L52" s="1153" t="str">
        <f>"100　～　"&amp;IF(資金計画!I22=0,SUM(J45:K48),資金計画!I22)&amp;"　万円"</f>
        <v>100　～　0　万円</v>
      </c>
      <c r="M52" s="1153"/>
      <c r="N52" s="1154"/>
      <c r="O52" s="259"/>
    </row>
    <row r="53" spans="2:15" s="121" customFormat="1" ht="26.25" customHeight="1" thickBot="1">
      <c r="B53" s="1143"/>
      <c r="C53" s="1158"/>
      <c r="D53" s="1159"/>
      <c r="E53" s="329"/>
      <c r="F53" s="314"/>
      <c r="G53" s="314"/>
      <c r="H53" s="1194" t="s">
        <v>74</v>
      </c>
      <c r="I53" s="1194"/>
      <c r="J53" s="1194"/>
      <c r="K53" s="1192" t="e">
        <f>計算シート!H81</f>
        <v>#NUM!</v>
      </c>
      <c r="L53" s="1193"/>
      <c r="M53" s="1193"/>
      <c r="N53" s="510" t="s">
        <v>61</v>
      </c>
      <c r="O53" s="259"/>
    </row>
    <row r="54" spans="2:15" s="121" customFormat="1" ht="26.25" customHeight="1" thickBot="1">
      <c r="B54" s="1143"/>
      <c r="C54" s="754" t="str">
        <f>IF(G55=0,"","ベストミックス")</f>
        <v/>
      </c>
      <c r="D54" s="755"/>
      <c r="E54" s="1197" t="str">
        <f>IF(G55=0,"","借入希望年数")</f>
        <v/>
      </c>
      <c r="F54" s="1198"/>
      <c r="G54" s="832"/>
      <c r="H54" s="833"/>
      <c r="I54" s="511" t="str">
        <f>IF(G55=0,"","年")</f>
        <v/>
      </c>
      <c r="J54" s="850" t="s">
        <v>75</v>
      </c>
      <c r="K54" s="850"/>
      <c r="L54" s="1168" t="str">
        <f>IF(G55=0,"",計算シート!C54&amp;"　～　"&amp;MIN(G51,35)&amp;"　年")</f>
        <v/>
      </c>
      <c r="M54" s="1168"/>
      <c r="N54" s="1169"/>
      <c r="O54" s="259"/>
    </row>
    <row r="55" spans="2:15" s="121" customFormat="1" ht="26.25" customHeight="1" thickBot="1">
      <c r="B55" s="1143"/>
      <c r="C55" s="756"/>
      <c r="D55" s="757"/>
      <c r="E55" s="767" t="str">
        <f>IF(G55=0,"","借入希望額")</f>
        <v/>
      </c>
      <c r="F55" s="768"/>
      <c r="G55" s="844">
        <f>IF(J55="",資金計画!K24,J55)</f>
        <v>0</v>
      </c>
      <c r="H55" s="844"/>
      <c r="I55" s="361" t="str">
        <f>IF(G55=0,"","万円")</f>
        <v/>
      </c>
      <c r="J55" s="841"/>
      <c r="K55" s="842"/>
      <c r="L55" s="846" t="str">
        <f>IF(G55=0,"","50　～　"&amp;IF(資金計画!I24=0,SUM(J45:K48),資金計画!I24)&amp;"　万円")</f>
        <v/>
      </c>
      <c r="M55" s="846"/>
      <c r="N55" s="847"/>
      <c r="O55" s="124"/>
    </row>
    <row r="56" spans="2:15" s="121" customFormat="1" ht="26.25" customHeight="1" thickBot="1">
      <c r="B56" s="1143"/>
      <c r="C56" s="756"/>
      <c r="D56" s="757"/>
      <c r="E56" s="362"/>
      <c r="F56" s="363"/>
      <c r="G56" s="364"/>
      <c r="H56" s="845" t="str">
        <f>IF(G55=0,"","毎月返済額")</f>
        <v/>
      </c>
      <c r="I56" s="845"/>
      <c r="J56" s="845"/>
      <c r="K56" s="838" t="str">
        <f>IF(G55=0,"",計算シート!H189)</f>
        <v/>
      </c>
      <c r="L56" s="838"/>
      <c r="M56" s="838"/>
      <c r="N56" s="313" t="str">
        <f>IF(G55=0,"","円")</f>
        <v/>
      </c>
      <c r="O56" s="124"/>
    </row>
    <row r="57" spans="2:15" s="121" customFormat="1" ht="26.25" customHeight="1" thickBot="1">
      <c r="B57" s="1143"/>
      <c r="C57" s="1127" t="str">
        <f>IF(G59=0,"","アプラス")</f>
        <v/>
      </c>
      <c r="D57" s="1128"/>
      <c r="E57" s="834" t="str">
        <f>IF(G59=0,"","希望プラン")</f>
        <v/>
      </c>
      <c r="F57" s="835"/>
      <c r="G57" s="741"/>
      <c r="H57" s="742"/>
      <c r="I57" s="741"/>
      <c r="J57" s="742"/>
      <c r="K57" s="1132"/>
      <c r="L57" s="1133"/>
      <c r="M57" s="365"/>
      <c r="N57" s="204"/>
      <c r="O57" s="124"/>
    </row>
    <row r="58" spans="2:15" s="121" customFormat="1" ht="26.25" customHeight="1" thickBot="1">
      <c r="B58" s="1143"/>
      <c r="C58" s="1129"/>
      <c r="D58" s="1130"/>
      <c r="E58" s="669" t="str">
        <f>IF(G59=0,"","借入希望年数")</f>
        <v/>
      </c>
      <c r="F58" s="670"/>
      <c r="G58" s="688"/>
      <c r="H58" s="689"/>
      <c r="I58" s="366" t="str">
        <f>IF(G59=0,"","年")</f>
        <v/>
      </c>
      <c r="J58" s="839" t="s">
        <v>76</v>
      </c>
      <c r="K58" s="840"/>
      <c r="L58" s="1156" t="str">
        <f>IF(G59=0,"",計算シート!M33&amp;"　～　"&amp;計算シート!H144&amp;"　年")</f>
        <v/>
      </c>
      <c r="M58" s="1156"/>
      <c r="N58" s="1157"/>
      <c r="O58" s="124"/>
    </row>
    <row r="59" spans="2:15" s="121" customFormat="1" ht="26.25" customHeight="1" thickBot="1">
      <c r="B59" s="1143"/>
      <c r="C59" s="1129"/>
      <c r="D59" s="1130"/>
      <c r="E59" s="1160" t="str">
        <f>IF(G59=0,"","借入希望額")</f>
        <v/>
      </c>
      <c r="F59" s="1161"/>
      <c r="G59" s="848">
        <f>IF(J59="",資金計画!K28,J59)</f>
        <v>0</v>
      </c>
      <c r="H59" s="848"/>
      <c r="I59" s="367" t="str">
        <f>IF(G59=0,"","万円")</f>
        <v/>
      </c>
      <c r="J59" s="841"/>
      <c r="K59" s="842"/>
      <c r="L59" s="1156" t="str">
        <f>IF(G59=0,"",計算シート!M35&amp;"　～　"&amp;IF(資金計画!K28=0,SUM(J45:K48),資金計画!K28)&amp;"　万円")</f>
        <v/>
      </c>
      <c r="M59" s="1156"/>
      <c r="N59" s="1157"/>
      <c r="O59" s="259"/>
    </row>
    <row r="60" spans="2:15" s="121" customFormat="1" ht="26.25" customHeight="1">
      <c r="B60" s="1143"/>
      <c r="C60" s="1129"/>
      <c r="D60" s="1130"/>
      <c r="E60" s="368"/>
      <c r="F60" s="369"/>
      <c r="G60" s="852" t="str">
        <f>IF(G59&gt;計算シート!H33,"アプラス団信加入希望","")</f>
        <v/>
      </c>
      <c r="H60" s="853"/>
      <c r="I60" s="853"/>
      <c r="J60" s="854" t="s">
        <v>77</v>
      </c>
      <c r="K60" s="854"/>
      <c r="L60" s="370"/>
      <c r="M60" s="370"/>
      <c r="N60" s="371"/>
      <c r="O60" s="259"/>
    </row>
    <row r="61" spans="2:15" s="121" customFormat="1" ht="26.25" customHeight="1">
      <c r="B61" s="1143"/>
      <c r="C61" s="1131"/>
      <c r="D61" s="1130"/>
      <c r="E61" s="368"/>
      <c r="F61" s="369"/>
      <c r="G61" s="369"/>
      <c r="H61" s="1122" t="str">
        <f>IF(G59=0,"","毎月返済額")</f>
        <v/>
      </c>
      <c r="I61" s="1122"/>
      <c r="J61" s="1122"/>
      <c r="K61" s="1121" t="str">
        <f>IF(計算シート!C143=0,"",計算シート!C143)</f>
        <v/>
      </c>
      <c r="L61" s="1121"/>
      <c r="M61" s="1121"/>
      <c r="N61" s="512" t="str">
        <f>IF(G59=0,"","円")</f>
        <v/>
      </c>
      <c r="O61" s="259"/>
    </row>
    <row r="62" spans="2:15" s="121" customFormat="1" ht="26.25" customHeight="1" thickBot="1">
      <c r="B62" s="1143"/>
      <c r="C62" s="312"/>
      <c r="D62" s="1123" t="s">
        <v>78</v>
      </c>
      <c r="E62" s="1123"/>
      <c r="F62" s="1123"/>
      <c r="G62" s="1123"/>
      <c r="H62" s="1123"/>
      <c r="I62" s="1123"/>
      <c r="J62" s="1123"/>
      <c r="K62" s="1123"/>
      <c r="L62" s="1123"/>
      <c r="M62" s="1123"/>
      <c r="N62" s="1124"/>
      <c r="O62" s="259"/>
    </row>
    <row r="63" spans="2:15" s="121" customFormat="1" ht="26.25" customHeight="1" thickBot="1">
      <c r="B63" s="1143"/>
      <c r="C63" s="1174" t="str">
        <f>IF(G65=0,"","アプラスワイド")</f>
        <v/>
      </c>
      <c r="D63" s="1175"/>
      <c r="E63" s="836" t="str">
        <f>IF(G65=0,"","希望プラン")</f>
        <v/>
      </c>
      <c r="F63" s="843"/>
      <c r="G63" s="741"/>
      <c r="H63" s="742"/>
      <c r="I63" s="741"/>
      <c r="J63" s="742"/>
      <c r="K63" s="372"/>
      <c r="L63" s="372"/>
      <c r="M63" s="372"/>
      <c r="N63" s="373"/>
      <c r="O63" s="259"/>
    </row>
    <row r="64" spans="2:15" s="121" customFormat="1" ht="26.25" customHeight="1" thickBot="1">
      <c r="B64" s="1143"/>
      <c r="C64" s="1176"/>
      <c r="D64" s="1177"/>
      <c r="E64" s="836" t="str">
        <f>IF(G65=0,"","借入希望年数")</f>
        <v/>
      </c>
      <c r="F64" s="843"/>
      <c r="G64" s="741"/>
      <c r="H64" s="742"/>
      <c r="I64" s="374" t="str">
        <f>IF(G65=0,"","年")</f>
        <v/>
      </c>
      <c r="J64" s="849" t="s">
        <v>79</v>
      </c>
      <c r="K64" s="849"/>
      <c r="L64" s="1125" t="str">
        <f>IF(G65=0,"",計算シート!M33&amp;"　～　"&amp;計算シート!H144&amp;"　年")</f>
        <v/>
      </c>
      <c r="M64" s="1125"/>
      <c r="N64" s="1126"/>
      <c r="O64" s="259"/>
    </row>
    <row r="65" spans="1:15" s="121" customFormat="1" ht="26.25" customHeight="1" thickBot="1">
      <c r="A65" s="259"/>
      <c r="B65" s="1143"/>
      <c r="C65" s="1176"/>
      <c r="D65" s="1177"/>
      <c r="E65" s="836" t="str">
        <f>IF(G65=0,"","借入希望額")</f>
        <v/>
      </c>
      <c r="F65" s="837"/>
      <c r="G65" s="851">
        <f>IF(J65="",資金計画!K29,J65)</f>
        <v>0</v>
      </c>
      <c r="H65" s="851"/>
      <c r="I65" s="375" t="str">
        <f>IF(G65=0,"","万円")</f>
        <v/>
      </c>
      <c r="J65" s="841"/>
      <c r="K65" s="842"/>
      <c r="L65" s="1148" t="str">
        <f>IF(G65=0,"",計算シート!C199&amp;"　～　"&amp;計算シート!C202&amp;"　万円")</f>
        <v/>
      </c>
      <c r="M65" s="1149"/>
      <c r="N65" s="1150"/>
      <c r="O65" s="259"/>
    </row>
    <row r="66" spans="1:15" s="121" customFormat="1" ht="26.25" customHeight="1" thickBot="1">
      <c r="A66" s="259"/>
      <c r="B66" s="1143"/>
      <c r="C66" s="1178"/>
      <c r="D66" s="1179"/>
      <c r="E66" s="773" t="str">
        <f>IF(G65&gt;0,"現在のお借入状況によっては、減額になる可能性があります。","")</f>
        <v/>
      </c>
      <c r="F66" s="774"/>
      <c r="G66" s="774"/>
      <c r="H66" s="1151" t="str">
        <f>IF(G65=0,"","毎月返済額")</f>
        <v/>
      </c>
      <c r="I66" s="1151"/>
      <c r="J66" s="1152"/>
      <c r="K66" s="1115" t="str">
        <f>IF(G65=0,"",計算シート!H199)</f>
        <v/>
      </c>
      <c r="L66" s="1115"/>
      <c r="M66" s="1115"/>
      <c r="N66" s="376" t="str">
        <f>IF(G65=0,"","円")</f>
        <v/>
      </c>
      <c r="O66" s="259"/>
    </row>
    <row r="67" spans="1:15" s="121" customFormat="1" ht="26.25" customHeight="1" thickBot="1">
      <c r="A67" s="259"/>
      <c r="B67" s="1143"/>
      <c r="C67" s="758" t="s">
        <v>80</v>
      </c>
      <c r="D67" s="759"/>
      <c r="E67" s="1145" t="s">
        <v>81</v>
      </c>
      <c r="F67" s="1146"/>
      <c r="G67" s="1119">
        <f>IF(J67="",資金計画!K32,J67)</f>
        <v>-10000</v>
      </c>
      <c r="H67" s="1119"/>
      <c r="I67" s="507" t="s">
        <v>61</v>
      </c>
      <c r="J67" s="777"/>
      <c r="K67" s="778"/>
      <c r="L67" s="1116"/>
      <c r="M67" s="1117"/>
      <c r="N67" s="510"/>
      <c r="O67" s="259"/>
    </row>
    <row r="68" spans="1:15" s="121" customFormat="1" ht="26.25" customHeight="1">
      <c r="A68" s="259"/>
      <c r="B68" s="1144"/>
      <c r="C68" s="125"/>
      <c r="D68" s="513"/>
      <c r="E68" s="762" t="s">
        <v>66</v>
      </c>
      <c r="F68" s="782"/>
      <c r="G68" s="781">
        <f>(G52+G55+G59+G65)*10000+G67</f>
        <v>0</v>
      </c>
      <c r="H68" s="781"/>
      <c r="I68" s="377" t="s">
        <v>67</v>
      </c>
      <c r="J68" s="780">
        <f>G68-G49</f>
        <v>0</v>
      </c>
      <c r="K68" s="780"/>
      <c r="L68" s="377"/>
      <c r="M68" s="377"/>
      <c r="N68" s="378"/>
      <c r="O68" s="259"/>
    </row>
    <row r="69" spans="1:15" s="121" customFormat="1" ht="27" customHeight="1">
      <c r="A69" s="259"/>
      <c r="B69" s="514" t="s">
        <v>82</v>
      </c>
      <c r="C69" s="772" t="str">
        <f>IF(OR(資金計画!$Q$3=TRUE,計算シート!C80=TRUE),"先に進む前に上記の☑を外してください。","")</f>
        <v/>
      </c>
      <c r="D69" s="772"/>
      <c r="E69" s="772"/>
      <c r="F69" s="772"/>
      <c r="G69" s="772"/>
      <c r="H69" s="772"/>
      <c r="I69" s="514"/>
      <c r="J69" s="514"/>
      <c r="K69" s="515"/>
      <c r="L69" s="516" t="s">
        <v>83</v>
      </c>
      <c r="M69" s="1118" t="e">
        <f>計算シート!M89</f>
        <v>#NUM!</v>
      </c>
      <c r="N69" s="1118"/>
      <c r="O69" s="126" t="s">
        <v>84</v>
      </c>
    </row>
    <row r="70" spans="1:15" ht="19.5" customHeight="1">
      <c r="A70" s="117"/>
      <c r="B70" s="193"/>
      <c r="C70" s="671" t="str">
        <f>IF(AND(J45="",J46="",J47="",J48="",J52="",J55="",J59="",J65="",J67=""),"","手入力した数値があります。資金計画を修正してください。")</f>
        <v/>
      </c>
      <c r="D70" s="671"/>
      <c r="E70" s="671"/>
      <c r="F70" s="671"/>
      <c r="G70" s="671"/>
      <c r="H70" s="671"/>
      <c r="I70" s="671"/>
      <c r="J70" s="671"/>
      <c r="K70" s="128" t="e">
        <f>IF(OR(AND(計算シート!H21=3,M69&gt;20),AND(I14&gt;=400,M69&gt;35),AND(I14&lt;400,M69&gt;30)),"!!資金計画を見直して下さい!!","")</f>
        <v>#NUM!</v>
      </c>
      <c r="L70" s="127"/>
      <c r="M70" s="127"/>
      <c r="N70" s="127"/>
      <c r="O70" s="315"/>
    </row>
    <row r="71" spans="1:15" ht="20.25" customHeight="1">
      <c r="A71" s="117"/>
      <c r="B71" s="193"/>
      <c r="C71" s="779" t="str">
        <f>IF(AND(J45="",J46="",J47="",J48="",J52="",J55="",J59="",J65="",J67=""),"","以降の内容に正確に反映しません。")</f>
        <v/>
      </c>
      <c r="D71" s="779"/>
      <c r="E71" s="779"/>
      <c r="F71" s="779"/>
      <c r="G71" s="779"/>
      <c r="H71" s="779"/>
      <c r="I71" s="779"/>
      <c r="J71" s="779"/>
      <c r="K71" s="128"/>
      <c r="L71" s="127"/>
      <c r="M71" s="127"/>
      <c r="N71" s="127"/>
      <c r="O71" s="315"/>
    </row>
    <row r="72" spans="1:15" ht="24" customHeight="1">
      <c r="A72" s="789" t="s">
        <v>85</v>
      </c>
      <c r="B72" s="790"/>
      <c r="C72" s="790"/>
      <c r="D72" s="790"/>
      <c r="E72" s="790"/>
      <c r="F72" s="790"/>
      <c r="G72" s="790"/>
      <c r="H72" s="775" t="s">
        <v>86</v>
      </c>
      <c r="I72" s="775"/>
      <c r="J72" s="775"/>
      <c r="K72" s="775"/>
      <c r="L72" s="775"/>
      <c r="M72" s="775"/>
      <c r="N72" s="775"/>
      <c r="O72" s="776"/>
    </row>
    <row r="73" spans="1:15" ht="12" customHeight="1" thickBot="1">
      <c r="A73" s="315"/>
      <c r="B73" s="315"/>
      <c r="C73" s="315"/>
      <c r="D73" s="315"/>
      <c r="E73" s="315"/>
      <c r="F73" s="315"/>
      <c r="G73" s="315"/>
      <c r="H73" s="315"/>
      <c r="I73" s="315"/>
      <c r="J73" s="315"/>
      <c r="K73" s="315"/>
      <c r="L73" s="315"/>
      <c r="M73" s="315"/>
      <c r="N73" s="315"/>
      <c r="O73" s="315"/>
    </row>
    <row r="74" spans="1:15" ht="19.5" customHeight="1">
      <c r="A74" s="315"/>
      <c r="B74" s="769" t="s">
        <v>87</v>
      </c>
      <c r="C74" s="770"/>
      <c r="D74" s="771"/>
      <c r="E74" s="760" t="s">
        <v>88</v>
      </c>
      <c r="F74" s="761"/>
      <c r="G74" s="688"/>
      <c r="H74" s="689"/>
      <c r="I74" s="491"/>
      <c r="J74" s="791" t="s">
        <v>89</v>
      </c>
      <c r="K74" s="695"/>
      <c r="L74" s="695"/>
      <c r="M74" s="695"/>
      <c r="N74" s="792"/>
      <c r="O74" s="315"/>
    </row>
    <row r="75" spans="1:15" ht="24" customHeight="1" thickBot="1">
      <c r="A75" s="315"/>
      <c r="B75" s="653"/>
      <c r="C75" s="654"/>
      <c r="D75" s="655"/>
      <c r="E75" s="762"/>
      <c r="F75" s="763"/>
      <c r="G75" s="1136"/>
      <c r="H75" s="1137"/>
      <c r="I75" s="328" t="s">
        <v>14</v>
      </c>
      <c r="J75" s="793"/>
      <c r="K75" s="794"/>
      <c r="L75" s="794"/>
      <c r="M75" s="794"/>
      <c r="N75" s="795"/>
      <c r="O75" s="315"/>
    </row>
    <row r="76" spans="1:15" ht="32.25" customHeight="1" thickBot="1">
      <c r="A76" s="315"/>
      <c r="B76" s="764" t="s">
        <v>90</v>
      </c>
      <c r="C76" s="765"/>
      <c r="D76" s="766"/>
      <c r="E76" s="797" t="s">
        <v>88</v>
      </c>
      <c r="F76" s="798"/>
      <c r="G76" s="1134" t="s">
        <v>91</v>
      </c>
      <c r="H76" s="1134"/>
      <c r="I76" s="1135"/>
      <c r="J76" s="379"/>
      <c r="K76" s="379"/>
      <c r="L76" s="379"/>
      <c r="M76" s="379"/>
      <c r="N76" s="380"/>
      <c r="O76" s="315"/>
    </row>
    <row r="77" spans="1:15" ht="42.75" customHeight="1" thickBot="1">
      <c r="A77" s="315"/>
      <c r="B77" s="799" t="s">
        <v>92</v>
      </c>
      <c r="C77" s="800"/>
      <c r="D77" s="801"/>
      <c r="E77" s="669" t="s">
        <v>88</v>
      </c>
      <c r="F77" s="670"/>
      <c r="G77" s="741"/>
      <c r="H77" s="742"/>
      <c r="I77" s="381" t="s">
        <v>14</v>
      </c>
      <c r="J77" s="786" t="s">
        <v>93</v>
      </c>
      <c r="K77" s="787"/>
      <c r="L77" s="787"/>
      <c r="M77" s="787"/>
      <c r="N77" s="788"/>
      <c r="O77" s="116">
        <f>G59*50%</f>
        <v>0</v>
      </c>
    </row>
    <row r="78" spans="1:15" ht="42.75" customHeight="1" thickBot="1">
      <c r="A78" s="315"/>
      <c r="B78" s="1138" t="s">
        <v>94</v>
      </c>
      <c r="C78" s="1139"/>
      <c r="D78" s="1140"/>
      <c r="E78" s="836" t="s">
        <v>88</v>
      </c>
      <c r="F78" s="843"/>
      <c r="G78" s="741"/>
      <c r="H78" s="742"/>
      <c r="I78" s="382" t="s">
        <v>14</v>
      </c>
      <c r="J78" s="783" t="s">
        <v>93</v>
      </c>
      <c r="K78" s="784"/>
      <c r="L78" s="784"/>
      <c r="M78" s="784"/>
      <c r="N78" s="785"/>
      <c r="O78" s="116"/>
    </row>
    <row r="79" spans="1:15" s="121" customFormat="1" ht="12.75" customHeight="1">
      <c r="A79" s="259"/>
      <c r="B79" s="259"/>
      <c r="C79" s="259"/>
      <c r="D79" s="259"/>
      <c r="E79" s="259"/>
      <c r="F79" s="259"/>
      <c r="G79" s="259"/>
      <c r="H79" s="259"/>
      <c r="I79" s="259"/>
      <c r="J79" s="259"/>
      <c r="K79" s="259"/>
      <c r="L79" s="259"/>
      <c r="M79" s="259"/>
      <c r="N79" s="259"/>
      <c r="O79" s="259"/>
    </row>
    <row r="80" spans="1:15" s="121" customFormat="1" ht="12.75" customHeight="1">
      <c r="A80" s="259"/>
      <c r="B80" s="259"/>
      <c r="C80" s="814" t="s">
        <v>49</v>
      </c>
      <c r="D80" s="815"/>
      <c r="E80" s="806" t="s">
        <v>95</v>
      </c>
      <c r="F80" s="807"/>
      <c r="G80" s="731" t="s">
        <v>96</v>
      </c>
      <c r="H80" s="731"/>
      <c r="I80" s="727" t="e">
        <f>計算シート!C113</f>
        <v>#NUM!</v>
      </c>
      <c r="J80" s="727"/>
      <c r="K80" s="383" t="s">
        <v>61</v>
      </c>
      <c r="L80" s="193" t="s">
        <v>97</v>
      </c>
      <c r="M80" s="129"/>
      <c r="N80" s="129"/>
      <c r="O80" s="259"/>
    </row>
    <row r="81" spans="1:15" s="121" customFormat="1" ht="12.75" customHeight="1">
      <c r="A81" s="259"/>
      <c r="B81" s="259"/>
      <c r="C81" s="677"/>
      <c r="D81" s="678"/>
      <c r="E81" s="808">
        <f>計算シート!C89</f>
        <v>1.43E-2</v>
      </c>
      <c r="F81" s="809"/>
      <c r="G81" s="731" t="s">
        <v>98</v>
      </c>
      <c r="H81" s="731"/>
      <c r="I81" s="727" t="e">
        <f>計算シート!C115</f>
        <v>#NUM!</v>
      </c>
      <c r="J81" s="727"/>
      <c r="K81" s="383" t="s">
        <v>61</v>
      </c>
      <c r="L81" s="193" t="s">
        <v>97</v>
      </c>
      <c r="M81" s="129"/>
      <c r="N81" s="129"/>
      <c r="O81" s="259"/>
    </row>
    <row r="82" spans="1:15" s="121" customFormat="1" ht="12.75" customHeight="1">
      <c r="A82" s="259"/>
      <c r="B82" s="259"/>
      <c r="C82" s="814" t="s">
        <v>90</v>
      </c>
      <c r="D82" s="815"/>
      <c r="E82" s="210" t="s">
        <v>95</v>
      </c>
      <c r="F82" s="211"/>
      <c r="G82" s="733" t="s">
        <v>96</v>
      </c>
      <c r="H82" s="734"/>
      <c r="I82" s="737">
        <f>計算シート!H189</f>
        <v>0</v>
      </c>
      <c r="J82" s="738"/>
      <c r="K82" s="384" t="s">
        <v>61</v>
      </c>
      <c r="L82" s="193"/>
      <c r="M82" s="129"/>
      <c r="N82" s="129"/>
      <c r="O82" s="259"/>
    </row>
    <row r="83" spans="1:15" s="121" customFormat="1" ht="12.75" customHeight="1">
      <c r="A83" s="259"/>
      <c r="B83" s="259"/>
      <c r="C83" s="677"/>
      <c r="D83" s="678"/>
      <c r="E83" s="210"/>
      <c r="F83" s="211">
        <f>計算シート!C186</f>
        <v>3.3000000000000002E-2</v>
      </c>
      <c r="G83" s="735"/>
      <c r="H83" s="736"/>
      <c r="I83" s="751"/>
      <c r="J83" s="751"/>
      <c r="K83" s="209"/>
      <c r="L83" s="193"/>
      <c r="M83" s="129"/>
      <c r="N83" s="129"/>
      <c r="O83" s="259"/>
    </row>
    <row r="84" spans="1:15" s="121" customFormat="1" ht="12.75" customHeight="1">
      <c r="A84" s="259"/>
      <c r="B84" s="259"/>
      <c r="C84" s="810" t="s">
        <v>92</v>
      </c>
      <c r="D84" s="811"/>
      <c r="E84" s="816" t="s">
        <v>95</v>
      </c>
      <c r="F84" s="817"/>
      <c r="G84" s="674" t="s">
        <v>96</v>
      </c>
      <c r="H84" s="674"/>
      <c r="I84" s="744">
        <f>計算シート!C143</f>
        <v>0</v>
      </c>
      <c r="J84" s="744"/>
      <c r="K84" s="385" t="s">
        <v>61</v>
      </c>
      <c r="L84" s="129"/>
      <c r="M84" s="129"/>
      <c r="N84" s="129"/>
      <c r="O84" s="259"/>
    </row>
    <row r="85" spans="1:15" s="121" customFormat="1" ht="12.75" customHeight="1">
      <c r="A85" s="259"/>
      <c r="B85" s="259"/>
      <c r="C85" s="812"/>
      <c r="D85" s="813"/>
      <c r="E85" s="672">
        <f>計算シート!M146</f>
        <v>3.95E-2</v>
      </c>
      <c r="F85" s="673"/>
      <c r="G85" s="743" t="s">
        <v>98</v>
      </c>
      <c r="H85" s="743"/>
      <c r="I85" s="728">
        <f>計算シート!C145</f>
        <v>0</v>
      </c>
      <c r="J85" s="728"/>
      <c r="K85" s="386" t="s">
        <v>61</v>
      </c>
      <c r="L85" s="129"/>
      <c r="M85" s="129"/>
      <c r="N85" s="129"/>
      <c r="O85" s="259"/>
    </row>
    <row r="86" spans="1:15" s="121" customFormat="1" ht="12.75" customHeight="1">
      <c r="A86" s="259"/>
      <c r="B86" s="259"/>
      <c r="C86" s="802" t="s">
        <v>94</v>
      </c>
      <c r="D86" s="803"/>
      <c r="E86" s="212" t="s">
        <v>95</v>
      </c>
      <c r="F86" s="213"/>
      <c r="G86" s="747" t="s">
        <v>96</v>
      </c>
      <c r="H86" s="747"/>
      <c r="I86" s="745">
        <f>計算シート!M197</f>
        <v>0</v>
      </c>
      <c r="J86" s="746"/>
      <c r="K86" s="387" t="s">
        <v>61</v>
      </c>
      <c r="L86" s="129"/>
      <c r="M86" s="129"/>
      <c r="N86" s="129"/>
      <c r="O86" s="259"/>
    </row>
    <row r="87" spans="1:15" s="121" customFormat="1" ht="12.75" customHeight="1">
      <c r="A87" s="259"/>
      <c r="B87" s="259"/>
      <c r="C87" s="804"/>
      <c r="D87" s="805"/>
      <c r="E87" s="214"/>
      <c r="F87" s="215">
        <f>計算シート!C196</f>
        <v>3.2000000000000001E-2</v>
      </c>
      <c r="G87" s="748" t="s">
        <v>98</v>
      </c>
      <c r="H87" s="748"/>
      <c r="I87" s="749">
        <f>計算シート!M199</f>
        <v>0</v>
      </c>
      <c r="J87" s="750"/>
      <c r="K87" s="388" t="s">
        <v>61</v>
      </c>
      <c r="L87" s="129"/>
      <c r="M87" s="129"/>
      <c r="N87" s="129"/>
      <c r="O87" s="259"/>
    </row>
    <row r="88" spans="1:15" s="121" customFormat="1" ht="12.75" customHeight="1">
      <c r="A88" s="259"/>
      <c r="B88" s="259"/>
      <c r="C88" s="675" t="s">
        <v>66</v>
      </c>
      <c r="D88" s="676"/>
      <c r="E88" s="206"/>
      <c r="F88" s="207"/>
      <c r="G88" s="730" t="s">
        <v>96</v>
      </c>
      <c r="H88" s="730"/>
      <c r="I88" s="732" t="e">
        <f>I80+I84+I82+I86</f>
        <v>#NUM!</v>
      </c>
      <c r="J88" s="732"/>
      <c r="K88" s="389" t="s">
        <v>61</v>
      </c>
      <c r="L88" s="129"/>
      <c r="M88" s="129"/>
      <c r="N88" s="129"/>
      <c r="O88" s="259"/>
    </row>
    <row r="89" spans="1:15" s="121" customFormat="1" ht="12.75" customHeight="1">
      <c r="A89" s="259"/>
      <c r="B89" s="259"/>
      <c r="C89" s="677"/>
      <c r="D89" s="678"/>
      <c r="E89" s="146"/>
      <c r="F89" s="147"/>
      <c r="G89" s="731" t="s">
        <v>98</v>
      </c>
      <c r="H89" s="731"/>
      <c r="I89" s="727" t="e">
        <f>I81+I85+I87</f>
        <v>#NUM!</v>
      </c>
      <c r="J89" s="727"/>
      <c r="K89" s="383" t="s">
        <v>61</v>
      </c>
      <c r="L89" s="129"/>
      <c r="M89" s="129"/>
      <c r="N89" s="129"/>
      <c r="O89" s="259"/>
    </row>
    <row r="90" spans="1:15" s="121" customFormat="1" ht="12.75" customHeight="1">
      <c r="A90" s="259"/>
      <c r="B90" s="129"/>
      <c r="C90" s="129"/>
      <c r="D90" s="129"/>
      <c r="E90" s="129"/>
      <c r="F90" s="259"/>
      <c r="G90" s="144"/>
      <c r="H90" s="145" t="s">
        <v>99</v>
      </c>
      <c r="I90" s="739" t="e">
        <f>I88+I89</f>
        <v>#NUM!</v>
      </c>
      <c r="J90" s="740"/>
      <c r="K90" s="143" t="s">
        <v>100</v>
      </c>
      <c r="L90" s="129"/>
      <c r="M90" s="129"/>
      <c r="N90" s="129"/>
      <c r="O90" s="259"/>
    </row>
    <row r="91" spans="1:15" s="121" customFormat="1" ht="12.75" customHeight="1">
      <c r="A91" s="259"/>
      <c r="B91" s="390"/>
      <c r="C91" s="390"/>
      <c r="D91" s="390"/>
      <c r="E91" s="390"/>
      <c r="F91" s="390"/>
      <c r="G91" s="390"/>
      <c r="H91" s="390"/>
      <c r="I91" s="390"/>
      <c r="J91" s="390"/>
      <c r="K91" s="390"/>
      <c r="L91" s="390"/>
      <c r="M91" s="390"/>
      <c r="N91" s="390"/>
      <c r="O91" s="259"/>
    </row>
    <row r="92" spans="1:15" ht="12.75" customHeight="1">
      <c r="A92" s="822" t="s">
        <v>101</v>
      </c>
      <c r="B92" s="822"/>
      <c r="C92" s="822"/>
      <c r="D92" s="822"/>
      <c r="E92" s="831" t="s">
        <v>3</v>
      </c>
      <c r="F92" s="350" t="s">
        <v>102</v>
      </c>
      <c r="G92" s="351"/>
      <c r="H92" s="351"/>
      <c r="I92" s="351"/>
      <c r="J92" s="351"/>
      <c r="K92" s="351"/>
      <c r="L92" s="351"/>
      <c r="M92" s="351"/>
      <c r="N92" s="351"/>
      <c r="O92" s="351"/>
    </row>
    <row r="93" spans="1:15" ht="12.75" customHeight="1">
      <c r="A93" s="822"/>
      <c r="B93" s="822"/>
      <c r="C93" s="822"/>
      <c r="D93" s="822"/>
      <c r="E93" s="831"/>
      <c r="F93" s="1141" t="s">
        <v>103</v>
      </c>
      <c r="G93" s="1141"/>
      <c r="H93" s="1141"/>
      <c r="I93" s="1141"/>
      <c r="J93" s="1141"/>
      <c r="K93" s="1141"/>
      <c r="L93" s="1141"/>
      <c r="M93" s="1141"/>
      <c r="N93" s="1141"/>
      <c r="O93" s="1141"/>
    </row>
    <row r="94" spans="1:15" s="121" customFormat="1" ht="12.75" hidden="1" customHeight="1">
      <c r="A94" s="259"/>
      <c r="B94" s="115"/>
      <c r="C94" s="259"/>
      <c r="D94" s="259" t="s">
        <v>104</v>
      </c>
      <c r="E94" s="259"/>
      <c r="F94" s="259"/>
      <c r="G94" s="259"/>
      <c r="H94" s="259"/>
      <c r="I94" s="259"/>
      <c r="J94" s="259"/>
      <c r="K94" s="259"/>
      <c r="L94" s="259"/>
      <c r="M94" s="259"/>
      <c r="N94" s="259"/>
      <c r="O94" s="259"/>
    </row>
    <row r="95" spans="1:15" s="121" customFormat="1" ht="12.75" customHeight="1" thickBot="1">
      <c r="A95" s="259"/>
      <c r="B95" s="115"/>
      <c r="C95" s="259"/>
      <c r="D95" s="259"/>
      <c r="E95" s="259"/>
      <c r="F95" s="259"/>
      <c r="G95" s="259"/>
      <c r="H95" s="259"/>
      <c r="I95" s="259"/>
      <c r="J95" s="259"/>
      <c r="K95" s="259"/>
      <c r="L95" s="259"/>
      <c r="M95" s="259"/>
      <c r="N95" s="259"/>
      <c r="O95" s="259"/>
    </row>
    <row r="96" spans="1:15" ht="26.25" customHeight="1" thickBot="1">
      <c r="A96" s="796" t="str">
        <f>IF(計算シート!C161&gt;計算シート!C160,"つなぎ融資は最大４回です。資金計画を見直し、回数を減らしてください。","")</f>
        <v/>
      </c>
      <c r="B96" s="1076" t="s">
        <v>105</v>
      </c>
      <c r="C96" s="818" t="s">
        <v>106</v>
      </c>
      <c r="D96" s="819"/>
      <c r="E96" s="352"/>
      <c r="F96" s="353"/>
      <c r="G96" s="752"/>
      <c r="H96" s="753"/>
      <c r="I96" s="391" t="str">
        <f>IF(G96="","",G96)</f>
        <v/>
      </c>
      <c r="J96" s="392"/>
      <c r="K96" s="392"/>
      <c r="L96" s="392"/>
      <c r="M96" s="392"/>
      <c r="N96" s="393"/>
      <c r="O96" s="315"/>
    </row>
    <row r="97" spans="1:15" ht="26.25" customHeight="1" thickBot="1">
      <c r="A97" s="796"/>
      <c r="B97" s="1077"/>
      <c r="C97" s="825" t="s">
        <v>107</v>
      </c>
      <c r="D97" s="826"/>
      <c r="E97" s="1172" t="s">
        <v>108</v>
      </c>
      <c r="F97" s="1173"/>
      <c r="G97" s="1173"/>
      <c r="H97" s="1173"/>
      <c r="I97" s="495"/>
      <c r="J97" s="694" t="str">
        <f>IF(計算シート!H153=TRUE,"土地等価格","")</f>
        <v/>
      </c>
      <c r="K97" s="695"/>
      <c r="L97" s="729" t="str">
        <f>IF(計算シート!H153=TRUE,SUM(計算シート!C166:C171),"")</f>
        <v/>
      </c>
      <c r="M97" s="729"/>
      <c r="N97" s="517" t="str">
        <f>IF(計算シート!H153=TRUE,"円","")</f>
        <v/>
      </c>
      <c r="O97" s="394"/>
    </row>
    <row r="98" spans="1:15" s="121" customFormat="1" ht="26.25" customHeight="1" thickBot="1">
      <c r="A98" s="796"/>
      <c r="B98" s="1077"/>
      <c r="C98" s="827"/>
      <c r="D98" s="828"/>
      <c r="E98" s="760" t="str">
        <f>IF(計算シート!H153=TRUE,"必要金額","")</f>
        <v/>
      </c>
      <c r="F98" s="761"/>
      <c r="G98" s="688"/>
      <c r="H98" s="689"/>
      <c r="I98" s="491" t="str">
        <f>IF(計算シート!H153=TRUE,"万円","")</f>
        <v/>
      </c>
      <c r="J98" s="271" t="str">
        <f>IF(計算シート!H153=TRUE,"立替可能金額","")</f>
        <v/>
      </c>
      <c r="K98" s="272"/>
      <c r="L98" s="1120" t="str">
        <f>IF(計算シート!H153=TRUE,計算シート!H154,"")</f>
        <v/>
      </c>
      <c r="M98" s="1120"/>
      <c r="N98" s="518" t="str">
        <f>IF(計算シート!H153=TRUE,"万円","")</f>
        <v/>
      </c>
      <c r="O98" s="259"/>
    </row>
    <row r="99" spans="1:15" ht="26.25" customHeight="1" thickBot="1">
      <c r="A99" s="796"/>
      <c r="B99" s="1077"/>
      <c r="C99" s="829"/>
      <c r="D99" s="830"/>
      <c r="E99" s="1102" t="str">
        <f>IF(計算シート!H153=TRUE,"借入日","")</f>
        <v/>
      </c>
      <c r="F99" s="1103"/>
      <c r="G99" s="752"/>
      <c r="H99" s="753"/>
      <c r="I99" s="391" t="str">
        <f>IF(G99="","",G99)</f>
        <v/>
      </c>
      <c r="J99" s="823" t="str">
        <f>IF(計算シート!H153=TRUE,IF(計算シート!C167&gt;0,"","※土地つなぎ利用開始日（決済日）を入力して下さい。"),"")</f>
        <v/>
      </c>
      <c r="K99" s="823"/>
      <c r="L99" s="823"/>
      <c r="M99" s="823"/>
      <c r="N99" s="824"/>
      <c r="O99" s="315"/>
    </row>
    <row r="100" spans="1:15" ht="26.25" customHeight="1" thickBot="1">
      <c r="A100" s="796"/>
      <c r="B100" s="1077"/>
      <c r="C100" s="699" t="s">
        <v>109</v>
      </c>
      <c r="D100" s="700"/>
      <c r="E100" s="686" t="s">
        <v>108</v>
      </c>
      <c r="F100" s="687"/>
      <c r="G100" s="687"/>
      <c r="H100" s="687"/>
      <c r="I100" s="495"/>
      <c r="J100" s="694" t="str">
        <f>IF(計算シート!H159=TRUE,"建物等価格","")</f>
        <v/>
      </c>
      <c r="K100" s="695"/>
      <c r="L100" s="729" t="str">
        <f>IF(計算シート!H159=TRUE,SUM(計算シート!C176:C178),"")</f>
        <v/>
      </c>
      <c r="M100" s="729"/>
      <c r="N100" s="519" t="str">
        <f>IF(計算シート!H159=TRUE,"円","")</f>
        <v/>
      </c>
      <c r="O100" s="1170" t="str">
        <f>IF(OR(計算シート!H159=TRUE,計算シート!M176=TRUE),"請負契約書に左の条件での支払いの記載が必要です","")</f>
        <v/>
      </c>
    </row>
    <row r="101" spans="1:15" s="121" customFormat="1" ht="26.25" customHeight="1" thickBot="1">
      <c r="A101" s="796"/>
      <c r="B101" s="1077"/>
      <c r="C101" s="701"/>
      <c r="D101" s="702"/>
      <c r="E101" s="760" t="str">
        <f>IF(計算シート!H159=TRUE,"必要金額","")</f>
        <v/>
      </c>
      <c r="F101" s="761"/>
      <c r="G101" s="688"/>
      <c r="H101" s="689"/>
      <c r="I101" s="491" t="str">
        <f>IF(計算シート!H159=TRUE,"万円","")</f>
        <v/>
      </c>
      <c r="J101" s="271" t="str">
        <f>IF(計算シート!H159=TRUE,"立替可能金額","")</f>
        <v/>
      </c>
      <c r="K101" s="273" t="str">
        <f>IF(計算シート!H159=TRUE,計算シート!H162,"")</f>
        <v/>
      </c>
      <c r="L101" s="272" t="str">
        <f>IF(計算シート!H159=TRUE,"万円","")</f>
        <v/>
      </c>
      <c r="M101" s="395"/>
      <c r="N101" s="396"/>
      <c r="O101" s="1171"/>
    </row>
    <row r="102" spans="1:15" ht="26.25" customHeight="1" thickBot="1">
      <c r="A102" s="796"/>
      <c r="B102" s="1077"/>
      <c r="C102" s="703"/>
      <c r="D102" s="704"/>
      <c r="E102" s="1102" t="str">
        <f>IF(計算シート!H159=TRUE,"借入日","")</f>
        <v/>
      </c>
      <c r="F102" s="1103"/>
      <c r="G102" s="752"/>
      <c r="H102" s="753"/>
      <c r="I102" s="391" t="str">
        <f>IF(G102="","",G102)</f>
        <v/>
      </c>
      <c r="J102" s="823" t="str">
        <f>IF(計算シート!H159=TRUE,"※契約時金つなぎ実行希望日を入力して下さい。","")</f>
        <v/>
      </c>
      <c r="K102" s="823"/>
      <c r="L102" s="823"/>
      <c r="M102" s="823"/>
      <c r="N102" s="824"/>
      <c r="O102" s="1171"/>
    </row>
    <row r="103" spans="1:15" ht="26.25" customHeight="1" thickBot="1">
      <c r="A103" s="796"/>
      <c r="B103" s="1077"/>
      <c r="C103" s="699" t="s">
        <v>110</v>
      </c>
      <c r="D103" s="700"/>
      <c r="E103" s="686" t="s">
        <v>108</v>
      </c>
      <c r="F103" s="687"/>
      <c r="G103" s="687"/>
      <c r="H103" s="687"/>
      <c r="I103" s="495"/>
      <c r="J103" s="694" t="str">
        <f>IF(計算シート!H167=TRUE,"建物価格","")</f>
        <v/>
      </c>
      <c r="K103" s="695"/>
      <c r="L103" s="729" t="str">
        <f>IF(計算シート!H167=TRUE,SUM(計算シート!C176:C178),"")</f>
        <v/>
      </c>
      <c r="M103" s="729"/>
      <c r="N103" s="519" t="str">
        <f>IF(計算シート!H167=TRUE,"円","")</f>
        <v/>
      </c>
      <c r="O103" s="1171"/>
    </row>
    <row r="104" spans="1:15" s="121" customFormat="1" ht="26.25" customHeight="1" thickBot="1">
      <c r="A104" s="796"/>
      <c r="B104" s="1077"/>
      <c r="C104" s="701"/>
      <c r="D104" s="702"/>
      <c r="E104" s="760" t="str">
        <f>IF(計算シート!H167=TRUE,"必要金額","")</f>
        <v/>
      </c>
      <c r="F104" s="761"/>
      <c r="G104" s="741"/>
      <c r="H104" s="742"/>
      <c r="I104" s="491" t="str">
        <f>IF(計算シート!H167=TRUE,"万円","")</f>
        <v/>
      </c>
      <c r="J104" s="271" t="str">
        <f>IF(計算シート!H167=TRUE,"立替可能金額","")</f>
        <v/>
      </c>
      <c r="K104" s="273" t="str">
        <f>IF(計算シート!H167=TRUE,計算シート!H170,"")</f>
        <v/>
      </c>
      <c r="L104" s="272" t="str">
        <f>IF(計算シート!H167=TRUE,"万円","")</f>
        <v/>
      </c>
      <c r="M104" s="293" t="str">
        <f>IF(計算シート!H167=TRUE,"最大","")</f>
        <v/>
      </c>
      <c r="N104" s="294" t="str">
        <f>IF(計算シート!H167=TRUE,計算シート!M173,"")</f>
        <v/>
      </c>
      <c r="O104" s="1171"/>
    </row>
    <row r="105" spans="1:15" s="121" customFormat="1" ht="26.25" customHeight="1" thickBot="1">
      <c r="A105" s="796"/>
      <c r="B105" s="1077"/>
      <c r="C105" s="703"/>
      <c r="D105" s="704"/>
      <c r="E105" s="1102" t="str">
        <f>IF(計算シート!H167=TRUE,"借入日","")</f>
        <v/>
      </c>
      <c r="F105" s="1103"/>
      <c r="G105" s="752"/>
      <c r="H105" s="753"/>
      <c r="I105" s="391" t="str">
        <f>IF(G105="","",G105)</f>
        <v/>
      </c>
      <c r="J105" s="823" t="str">
        <f>IF(計算シート!H167=TRUE,"※着工時金つなぎ実行希望日を入力して下さい。","")</f>
        <v/>
      </c>
      <c r="K105" s="823"/>
      <c r="L105" s="823"/>
      <c r="M105" s="823"/>
      <c r="N105" s="824"/>
      <c r="O105" s="1171"/>
    </row>
    <row r="106" spans="1:15" s="121" customFormat="1" ht="26.25" customHeight="1" thickBot="1">
      <c r="A106" s="796"/>
      <c r="B106" s="1077"/>
      <c r="C106" s="699" t="s">
        <v>111</v>
      </c>
      <c r="D106" s="700"/>
      <c r="E106" s="686" t="s">
        <v>108</v>
      </c>
      <c r="F106" s="687"/>
      <c r="G106" s="687"/>
      <c r="H106" s="687"/>
      <c r="I106" s="495"/>
      <c r="J106" s="694" t="str">
        <f>IF(計算シート!M153=TRUE,"建物価格","")</f>
        <v/>
      </c>
      <c r="K106" s="695"/>
      <c r="L106" s="729" t="str">
        <f>IF(計算シート!M153=TRUE,SUM(計算シート!C176:C178),"")</f>
        <v/>
      </c>
      <c r="M106" s="729"/>
      <c r="N106" s="519" t="str">
        <f>IF(計算シート!M153=TRUE,"円","")</f>
        <v/>
      </c>
      <c r="O106" s="1171"/>
    </row>
    <row r="107" spans="1:15" s="121" customFormat="1" ht="26.25" customHeight="1" thickBot="1">
      <c r="A107" s="796"/>
      <c r="B107" s="1077"/>
      <c r="C107" s="701"/>
      <c r="D107" s="702"/>
      <c r="E107" s="760" t="str">
        <f>IF(計算シート!M153=TRUE,"必要金額","")</f>
        <v/>
      </c>
      <c r="F107" s="761"/>
      <c r="G107" s="688"/>
      <c r="H107" s="689"/>
      <c r="I107" s="491" t="str">
        <f>IF(計算シート!M153=TRUE,"万円","")</f>
        <v/>
      </c>
      <c r="J107" s="271" t="str">
        <f>IF(計算シート!M153=TRUE,"立替可能金額","")</f>
        <v/>
      </c>
      <c r="K107" s="273" t="str">
        <f>IF(計算シート!M153=TRUE,計算シート!M156,"")</f>
        <v/>
      </c>
      <c r="L107" s="272" t="str">
        <f>IF(計算シート!M153=TRUE,"万円","")</f>
        <v/>
      </c>
      <c r="M107" s="293" t="str">
        <f>IF(計算シート!M153=TRUE,"最大","")</f>
        <v/>
      </c>
      <c r="N107" s="294" t="str">
        <f>IF(計算シート!M153=TRUE,計算シート!M175,"")</f>
        <v/>
      </c>
      <c r="O107" s="1171"/>
    </row>
    <row r="108" spans="1:15" ht="26.25" customHeight="1" thickBot="1">
      <c r="A108" s="796"/>
      <c r="B108" s="1077"/>
      <c r="C108" s="703"/>
      <c r="D108" s="704"/>
      <c r="E108" s="1102" t="str">
        <f>IF(計算シート!M153=TRUE,"借入日","")</f>
        <v/>
      </c>
      <c r="F108" s="1103"/>
      <c r="G108" s="752"/>
      <c r="H108" s="753"/>
      <c r="I108" s="391" t="str">
        <f>IF(G108="","",G108)</f>
        <v/>
      </c>
      <c r="J108" s="820" t="str">
        <f>IF(計算シート!M153,"※上棟時つなぎ実行希望日を入力して下さい。","")</f>
        <v/>
      </c>
      <c r="K108" s="820"/>
      <c r="L108" s="820"/>
      <c r="M108" s="820"/>
      <c r="N108" s="821"/>
      <c r="O108" s="1171"/>
    </row>
    <row r="109" spans="1:15" ht="26.25" customHeight="1" thickBot="1">
      <c r="A109" s="796"/>
      <c r="B109" s="1077"/>
      <c r="C109" s="699" t="s">
        <v>112</v>
      </c>
      <c r="D109" s="700"/>
      <c r="E109" s="686" t="s">
        <v>108</v>
      </c>
      <c r="F109" s="687"/>
      <c r="G109" s="687"/>
      <c r="H109" s="687"/>
      <c r="I109" s="495"/>
      <c r="J109" s="694" t="str">
        <f>IF(計算シート!M161=TRUE,"建物価格","")</f>
        <v/>
      </c>
      <c r="K109" s="695"/>
      <c r="L109" s="729" t="str">
        <f>IF(計算シート!M161=TRUE,SUM(計算シート!C176:C178),"")</f>
        <v/>
      </c>
      <c r="M109" s="729"/>
      <c r="N109" s="519" t="str">
        <f>IF(計算シート!M161=TRUE,"円","")</f>
        <v/>
      </c>
      <c r="O109" s="1171"/>
    </row>
    <row r="110" spans="1:15" s="121" customFormat="1" ht="26.25" customHeight="1" thickBot="1">
      <c r="A110" s="796"/>
      <c r="B110" s="1077"/>
      <c r="C110" s="701"/>
      <c r="D110" s="702"/>
      <c r="E110" s="760" t="str">
        <f>IF(計算シート!M161=TRUE,"必要金額","")</f>
        <v/>
      </c>
      <c r="F110" s="761"/>
      <c r="G110" s="688"/>
      <c r="H110" s="689"/>
      <c r="I110" s="491" t="str">
        <f>IF(計算シート!M161=TRUE,"万円","")</f>
        <v/>
      </c>
      <c r="J110" s="271" t="str">
        <f>IF(計算シート!M161=TRUE,"立替可能金額","")</f>
        <v/>
      </c>
      <c r="K110" s="273" t="str">
        <f>IF(計算シート!M161=TRUE,計算シート!M164,"")</f>
        <v/>
      </c>
      <c r="L110" s="272" t="str">
        <f>IF(計算シート!M161=TRUE,"万円","")</f>
        <v/>
      </c>
      <c r="M110" s="395"/>
      <c r="N110" s="396"/>
      <c r="O110" s="1171"/>
    </row>
    <row r="111" spans="1:15" s="121" customFormat="1" ht="26.25" customHeight="1" thickBot="1">
      <c r="A111" s="246"/>
      <c r="B111" s="1078"/>
      <c r="C111" s="703"/>
      <c r="D111" s="704"/>
      <c r="E111" s="1105" t="str">
        <f>IF(計算シート!M161=TRUE,"借入日","")</f>
        <v/>
      </c>
      <c r="F111" s="1106"/>
      <c r="G111" s="752"/>
      <c r="H111" s="753"/>
      <c r="I111" s="391" t="str">
        <f>IF(G111="","",G111)</f>
        <v/>
      </c>
      <c r="J111" s="823" t="str">
        <f>IF(計算シート!M161,"※竣工時つなぎ実行希望日を入力して下さい。","")</f>
        <v/>
      </c>
      <c r="K111" s="823"/>
      <c r="L111" s="823"/>
      <c r="M111" s="823"/>
      <c r="N111" s="824"/>
      <c r="O111" s="1171"/>
    </row>
    <row r="112" spans="1:15" s="121" customFormat="1" ht="9" customHeight="1">
      <c r="A112" s="246"/>
      <c r="B112" s="249"/>
      <c r="C112" s="123"/>
      <c r="D112" s="123"/>
      <c r="E112" s="3"/>
      <c r="F112" s="3"/>
      <c r="G112" s="397"/>
      <c r="H112" s="259"/>
      <c r="I112" s="247"/>
      <c r="J112" s="247"/>
      <c r="K112" s="247"/>
      <c r="L112" s="247"/>
      <c r="M112" s="247"/>
      <c r="N112" s="247"/>
      <c r="O112" s="248"/>
    </row>
    <row r="113" spans="1:15" s="121" customFormat="1" ht="13.5" customHeight="1">
      <c r="A113" s="246"/>
      <c r="B113" s="705" t="s">
        <v>113</v>
      </c>
      <c r="C113" s="705"/>
      <c r="D113" s="705"/>
      <c r="E113" s="705"/>
      <c r="F113" s="705"/>
      <c r="G113" s="705"/>
      <c r="H113" s="705"/>
      <c r="I113" s="1109" t="s">
        <v>114</v>
      </c>
      <c r="J113" s="1109"/>
      <c r="K113" s="1109"/>
      <c r="L113" s="1109"/>
      <c r="M113" s="247"/>
      <c r="N113" s="247"/>
      <c r="O113" s="248"/>
    </row>
    <row r="114" spans="1:15" s="121" customFormat="1" ht="12">
      <c r="A114" s="246"/>
      <c r="B114" s="705" t="s">
        <v>115</v>
      </c>
      <c r="C114" s="705"/>
      <c r="D114" s="705"/>
      <c r="E114" s="705"/>
      <c r="F114" s="705"/>
      <c r="G114" s="705"/>
      <c r="H114" s="705"/>
      <c r="I114" s="1109"/>
      <c r="J114" s="1109"/>
      <c r="K114" s="1109"/>
      <c r="L114" s="1109"/>
      <c r="M114" s="247"/>
      <c r="N114" s="247"/>
      <c r="O114" s="248"/>
    </row>
    <row r="115" spans="1:15" ht="15.75" customHeight="1">
      <c r="A115" s="315"/>
      <c r="B115" s="398"/>
      <c r="C115" s="398"/>
      <c r="D115" s="398"/>
      <c r="E115" s="398"/>
      <c r="F115" s="399"/>
      <c r="G115" s="398"/>
      <c r="H115" s="398"/>
      <c r="I115" s="398"/>
      <c r="J115" s="398"/>
      <c r="K115" s="398"/>
      <c r="L115" s="398"/>
      <c r="M115" s="398"/>
      <c r="N115" s="398"/>
      <c r="O115" s="315"/>
    </row>
    <row r="116" spans="1:15" s="121" customFormat="1" ht="22.5" customHeight="1">
      <c r="A116" s="315"/>
      <c r="B116" s="120" t="s">
        <v>45</v>
      </c>
      <c r="C116" s="315"/>
      <c r="D116" s="315"/>
      <c r="E116" s="315"/>
      <c r="F116" s="315"/>
      <c r="G116" s="315"/>
      <c r="H116" s="315"/>
      <c r="I116" s="315"/>
      <c r="J116" s="315"/>
      <c r="K116" s="315"/>
      <c r="L116" s="315"/>
      <c r="M116" s="315"/>
      <c r="N116" s="315"/>
      <c r="O116" s="315"/>
    </row>
    <row r="117" spans="1:15" s="121" customFormat="1" ht="22.5" customHeight="1">
      <c r="A117" s="259"/>
      <c r="B117" s="1082" t="s">
        <v>116</v>
      </c>
      <c r="C117" s="1083"/>
      <c r="D117" s="1083"/>
      <c r="E117" s="1083"/>
      <c r="F117" s="1110" t="str">
        <f>IF(OR(計算シート!H21=2,計算シート!H21=3),"保証型です。　　",IF(資金計画!U5=2,"ＭＡＸの金利が適用されています。　　",""))&amp;IF(AND(計算シート!R8&gt;=4,計算シート!R9=1),"リノベと維持保全型は併用できませんが、維持保全型の適用をナシとして計算しています。入力シートを修正してください。",IF(計算シート!M8=0,"","フラット３５の金利引下プランにより"&amp;IF(OR(ポイントメニュー!G22="",ポイントメニュー!G22=0),ポイントメニュー!D21&amp;ポイントメニュー!E21&amp;ポイントメニュー!F21&amp;ポイントメニュー!G21&amp;ポイントメニュー!H21,ポイントメニュー!D21&amp;ポイントメニュー!E21&amp;ポイントメニュー!F21&amp;ポイントメニュー!G21&amp;ポイントメニュー!H21&amp;ポイントメニュー!D22&amp;ポイントメニュー!E22&amp;ポイントメニュー!F22&amp;ポイントメニュー!G22&amp;ポイントメニュー!H22)&amp;"になっています。"))</f>
        <v/>
      </c>
      <c r="G117" s="1110"/>
      <c r="H117" s="1110"/>
      <c r="I117" s="1110"/>
      <c r="J117" s="1110"/>
      <c r="K117" s="1110"/>
      <c r="L117" s="1110"/>
      <c r="M117" s="1110"/>
      <c r="N117" s="1110"/>
      <c r="O117" s="1111"/>
    </row>
    <row r="118" spans="1:15" ht="22.5" customHeight="1">
      <c r="A118" s="259"/>
      <c r="B118" s="284"/>
      <c r="C118" s="285"/>
      <c r="D118" s="285"/>
      <c r="E118" s="285"/>
      <c r="F118" s="286"/>
      <c r="G118" s="1104" t="s">
        <v>117</v>
      </c>
      <c r="H118" s="1104"/>
      <c r="I118" s="1104"/>
      <c r="J118" s="630" t="str">
        <f>IF(計算シート!H18=1,IF(計算シート!M8=0,計算シート!C82,計算シート!B118&amp;計算シート!C118)&amp;"年間","初回元利金")</f>
        <v>0年間</v>
      </c>
      <c r="K118" s="630"/>
      <c r="L118" s="630" t="str">
        <f>IF(計算シート!H18=1,IF(計算シート!M8=0,"",計算シート!G112),IF(計算シート!M8=0,"",計算シート!C118*12+1&amp;"回目の元利金"))</f>
        <v/>
      </c>
      <c r="M118" s="630"/>
      <c r="N118" s="630" t="str">
        <f>IF(計算シート!H18=1,IF(計算シート!M11=0,"",計算シート!G119),IF(計算シート!M11=0,"",(計算シート!C118+計算シート!C120)*12+1&amp;"回目の元利金"))</f>
        <v/>
      </c>
      <c r="O118" s="1075"/>
    </row>
    <row r="119" spans="1:15" ht="22.5" customHeight="1">
      <c r="A119" s="315"/>
      <c r="B119" s="1008" t="s">
        <v>118</v>
      </c>
      <c r="C119" s="663" t="str">
        <f>IF(AND(計算シート!C81=0.9,計算シート!H18=2),"MSJフラット　（元金均等）",IF(AND(計算シート!C81=1,計算シート!H18=1),"MSJフラット【ＭＡＸ】",IF(AND(計算シート!C81=1,計算シート!H18=2),"MSJフラット【ＭＡＸ】　（元金均等）","MSJフラット")))</f>
        <v>MSJフラット</v>
      </c>
      <c r="D119" s="664"/>
      <c r="E119" s="664"/>
      <c r="F119" s="400" t="str">
        <f>"("&amp;G51&amp;"年)"</f>
        <v>(年)</v>
      </c>
      <c r="G119" s="682">
        <f>計算シート!C112</f>
        <v>1</v>
      </c>
      <c r="H119" s="683"/>
      <c r="I119" s="317" t="s">
        <v>14</v>
      </c>
      <c r="J119" s="631" t="e">
        <f>計算シート!C128</f>
        <v>#NUM!</v>
      </c>
      <c r="K119" s="627"/>
      <c r="L119" s="627" t="str">
        <f>IF(OR(計算シート!C118&gt;=計算シート!C82,計算シート!M8=0),"",計算シート!H117)</f>
        <v/>
      </c>
      <c r="M119" s="627"/>
      <c r="N119" s="627" t="str">
        <f>IF(計算シート!M11=0,"",計算シート!H124)</f>
        <v/>
      </c>
      <c r="O119" s="1054"/>
    </row>
    <row r="120" spans="1:15" ht="22.5" customHeight="1">
      <c r="A120" s="315"/>
      <c r="B120" s="1009"/>
      <c r="C120" s="663" t="str">
        <f>IF(G120="","","ベストミックス")</f>
        <v/>
      </c>
      <c r="D120" s="664"/>
      <c r="E120" s="664"/>
      <c r="F120" s="401" t="str">
        <f>IF(G120="","","("&amp;計算シート!H186&amp;"年)")</f>
        <v/>
      </c>
      <c r="G120" s="684" t="str">
        <f>IF(計算シート!H188=0,"",計算シート!H188)</f>
        <v/>
      </c>
      <c r="H120" s="685"/>
      <c r="I120" s="520" t="s">
        <v>14</v>
      </c>
      <c r="J120" s="632" t="str">
        <f>IF(G120="","",計算シート!H189)</f>
        <v/>
      </c>
      <c r="K120" s="628"/>
      <c r="L120" s="628" t="str">
        <f>IF(G120="","",IF(計算シート!M8=0,"",IF(計算シート!C118&gt;=計算シート!H186,"",計算シート!H189)))</f>
        <v/>
      </c>
      <c r="M120" s="628"/>
      <c r="N120" s="628" t="str">
        <f>IF(G120="","",IF(計算シート!M11=0,"",IF((計算シート!C118+計算シート!C120)&gt;=計算シート!H186,"",計算シート!H189)))</f>
        <v/>
      </c>
      <c r="O120" s="1096"/>
    </row>
    <row r="121" spans="1:15" ht="22.5" customHeight="1">
      <c r="A121" s="315"/>
      <c r="B121" s="1009"/>
      <c r="C121" s="697" t="str">
        <f>IF(G121="","","アプラス")</f>
        <v/>
      </c>
      <c r="D121" s="698"/>
      <c r="E121" s="698"/>
      <c r="F121" s="402" t="str">
        <f>IF(G121="","","("&amp;計算シート!M77&amp;"年)")</f>
        <v/>
      </c>
      <c r="G121" s="1060" t="str">
        <f>IF(計算シート!C142=0,"",計算シート!C142)</f>
        <v/>
      </c>
      <c r="H121" s="1061"/>
      <c r="I121" s="521" t="s">
        <v>14</v>
      </c>
      <c r="J121" s="696" t="str">
        <f>IF(G121="","",計算シート!C143)</f>
        <v/>
      </c>
      <c r="K121" s="629"/>
      <c r="L121" s="629" t="str">
        <f>IF(OR(L119="",G121=""),"",IF(計算シート!C118="","",IF(計算シート!C118&gt;=計算シート!M77,"",計算シート!C143)))</f>
        <v/>
      </c>
      <c r="M121" s="629"/>
      <c r="N121" s="629" t="str">
        <f>IF(G121="","",IF(計算シート!M11=0,"",IF(計算シート!C118&gt;=計算シート!M77,"",計算シート!C143)))</f>
        <v/>
      </c>
      <c r="O121" s="1095"/>
    </row>
    <row r="122" spans="1:15" ht="22.5" customHeight="1" thickBot="1">
      <c r="A122" s="315"/>
      <c r="B122" s="1009"/>
      <c r="C122" s="1086" t="str">
        <f>IF(G122="","","アプラスワイド")</f>
        <v/>
      </c>
      <c r="D122" s="1087"/>
      <c r="E122" s="1087"/>
      <c r="F122" s="265" t="str">
        <f>IF(G122="","","("&amp;計算シート!H196&amp;"年)")</f>
        <v/>
      </c>
      <c r="G122" s="690" t="str">
        <f>IF(計算シート!M196=0,"",計算シート!M196)</f>
        <v/>
      </c>
      <c r="H122" s="691"/>
      <c r="I122" s="522" t="s">
        <v>14</v>
      </c>
      <c r="J122" s="692" t="str">
        <f>IF(G122="","",計算シート!M197)</f>
        <v/>
      </c>
      <c r="K122" s="693"/>
      <c r="L122" s="693" t="str">
        <f>IF(OR(G122="",L119=""),"",IF(計算シート!C118="","",IF(計算シート!C118&gt;=計算シート!H196,"",計算シート!M197)))</f>
        <v/>
      </c>
      <c r="M122" s="693"/>
      <c r="N122" s="693" t="str">
        <f>IF(G122="","",IF(計算シート!M11=0,"",IF(計算シート!C118&gt;=計算シート!H196,"",計算シート!M197)))</f>
        <v/>
      </c>
      <c r="O122" s="1112"/>
    </row>
    <row r="123" spans="1:15" ht="22.5" customHeight="1" thickBot="1">
      <c r="A123" s="315"/>
      <c r="B123" s="1051"/>
      <c r="C123" s="679"/>
      <c r="D123" s="680"/>
      <c r="E123" s="680"/>
      <c r="F123" s="681"/>
      <c r="G123" s="1107"/>
      <c r="H123" s="1108"/>
      <c r="I123" s="403" t="s">
        <v>14</v>
      </c>
      <c r="J123" s="1064"/>
      <c r="K123" s="726"/>
      <c r="L123" s="726"/>
      <c r="M123" s="726"/>
      <c r="N123" s="1113"/>
      <c r="O123" s="1114"/>
    </row>
    <row r="124" spans="1:15" ht="22.5" customHeight="1" thickTop="1">
      <c r="A124" s="315"/>
      <c r="B124" s="1010"/>
      <c r="C124" s="1099" t="s">
        <v>66</v>
      </c>
      <c r="D124" s="1100"/>
      <c r="E124" s="1100"/>
      <c r="F124" s="1101"/>
      <c r="G124" s="1097">
        <f>SUM(F119:H123)</f>
        <v>1</v>
      </c>
      <c r="H124" s="1098"/>
      <c r="I124" s="404" t="s">
        <v>14</v>
      </c>
      <c r="J124" s="667" t="e">
        <f>SUM(J119:K123)</f>
        <v>#NUM!</v>
      </c>
      <c r="K124" s="668"/>
      <c r="L124" s="668" t="str">
        <f>IF(OR(計算シート!C118&gt;=計算シート!C82,計算シート!M8=0),"",SUM(L119:M123))</f>
        <v/>
      </c>
      <c r="M124" s="668"/>
      <c r="N124" s="668" t="str">
        <f>IF(計算シート!M11=0,"",SUM(N119:O123))</f>
        <v/>
      </c>
      <c r="O124" s="1074"/>
    </row>
    <row r="125" spans="1:15">
      <c r="A125" s="315"/>
      <c r="B125" s="405"/>
      <c r="C125" s="406"/>
      <c r="D125" s="406"/>
      <c r="E125" s="406"/>
      <c r="F125" s="407"/>
      <c r="G125" s="407"/>
      <c r="H125" s="407"/>
      <c r="I125" s="408"/>
      <c r="J125" s="409"/>
      <c r="K125" s="409"/>
      <c r="L125" s="409"/>
      <c r="M125" s="409"/>
      <c r="N125" s="410"/>
      <c r="O125" s="411"/>
    </row>
    <row r="126" spans="1:15" ht="22.5" customHeight="1">
      <c r="A126" s="315"/>
      <c r="B126" s="1008" t="s">
        <v>119</v>
      </c>
      <c r="C126" s="1055" t="str">
        <f>IF(OR(G74="",G74=0),"",C119)</f>
        <v/>
      </c>
      <c r="D126" s="1056"/>
      <c r="E126" s="1056"/>
      <c r="F126" s="412" t="str">
        <f>IF(OR(G74="",G74=0),"",F119)</f>
        <v/>
      </c>
      <c r="G126" s="682" t="str">
        <f>IF(計算シート!C114=0,"",計算シート!C114)</f>
        <v/>
      </c>
      <c r="H126" s="683"/>
      <c r="I126" s="413" t="s">
        <v>14</v>
      </c>
      <c r="J126" s="706" t="e">
        <f>IF(計算シート!C130=0,"",計算シート!C132)</f>
        <v>#NUM!</v>
      </c>
      <c r="K126" s="707"/>
      <c r="L126" s="627" t="str">
        <f>IF(L119="","",計算シート!M117)</f>
        <v/>
      </c>
      <c r="M126" s="627"/>
      <c r="N126" s="627" t="e">
        <f>IF(OR(計算シート!M11=0,計算シート!C130=0),"",計算シート!M124)</f>
        <v>#NUM!</v>
      </c>
      <c r="O126" s="1054"/>
    </row>
    <row r="127" spans="1:15" ht="22.5" customHeight="1">
      <c r="A127" s="315"/>
      <c r="B127" s="1009"/>
      <c r="C127" s="697" t="str">
        <f>IF(OR(G77="",G77=0),"",C121)</f>
        <v/>
      </c>
      <c r="D127" s="698"/>
      <c r="E127" s="698"/>
      <c r="F127" s="414" t="str">
        <f>IF(OR(G77="",G77=0),"",F121)</f>
        <v/>
      </c>
      <c r="G127" s="1060" t="str">
        <f>IF(計算シート!C144=0,"",計算シート!C144)</f>
        <v/>
      </c>
      <c r="H127" s="1061"/>
      <c r="I127" s="415" t="s">
        <v>14</v>
      </c>
      <c r="J127" s="696" t="str">
        <f>IF(計算シート!C145=0,"",計算シート!C145)</f>
        <v/>
      </c>
      <c r="K127" s="629"/>
      <c r="L127" s="629" t="str">
        <f>IF(計算シート!C145=0,"",IF(計算シート!C118=0,"",IF(計算シート!C118&gt;=計算シート!M77,"",計算シート!C145)))</f>
        <v/>
      </c>
      <c r="M127" s="629"/>
      <c r="N127" s="629" t="str">
        <f>IF(計算シート!C145=0,"",IF(計算シート!M11=0,"",IF(計算シート!C118&gt;=計算シート!M77,"",計算シート!C145)))</f>
        <v/>
      </c>
      <c r="O127" s="1095"/>
    </row>
    <row r="128" spans="1:15" ht="22.5" customHeight="1" thickBot="1">
      <c r="A128" s="315"/>
      <c r="B128" s="1009"/>
      <c r="C128" s="1086" t="str">
        <f>IF(OR(G78="",G78=0),"",C122)</f>
        <v/>
      </c>
      <c r="D128" s="1087"/>
      <c r="E128" s="1087"/>
      <c r="F128" s="523" t="str">
        <f>IF(OR(G78="",G78=0),"",F122)</f>
        <v/>
      </c>
      <c r="G128" s="1062" t="str">
        <f>IF(計算シート!M198=0,"",計算シート!M198)</f>
        <v/>
      </c>
      <c r="H128" s="1063"/>
      <c r="I128" s="524" t="s">
        <v>14</v>
      </c>
      <c r="J128" s="1065" t="str">
        <f>IF(計算シート!M199=0,"",計算シート!M199)</f>
        <v/>
      </c>
      <c r="K128" s="1057"/>
      <c r="L128" s="1057" t="str">
        <f>IF(計算シート!M199=0,"",IF(計算シート!C118=0,"",IF(計算シート!C118&gt;=計算シート!H196,"",計算シート!M199)))</f>
        <v/>
      </c>
      <c r="M128" s="1057"/>
      <c r="N128" s="1057" t="str">
        <f>IF(計算シート!M199=0,"",IF(計算シート!M11=0,"",IF(計算シート!C118&gt;=計算シート!H196,"",計算シート!M199)))</f>
        <v/>
      </c>
      <c r="O128" s="1094"/>
    </row>
    <row r="129" spans="1:15" ht="22.5" customHeight="1" thickBot="1">
      <c r="A129" s="315"/>
      <c r="B129" s="1051"/>
      <c r="C129" s="717"/>
      <c r="D129" s="718"/>
      <c r="E129" s="718"/>
      <c r="F129" s="719"/>
      <c r="G129" s="724"/>
      <c r="H129" s="725"/>
      <c r="I129" s="403" t="s">
        <v>14</v>
      </c>
      <c r="J129" s="1064"/>
      <c r="K129" s="726"/>
      <c r="L129" s="726"/>
      <c r="M129" s="726"/>
      <c r="N129" s="1092"/>
      <c r="O129" s="1093"/>
    </row>
    <row r="130" spans="1:15" ht="22.5" customHeight="1" thickTop="1">
      <c r="A130" s="315"/>
      <c r="B130" s="1010"/>
      <c r="C130" s="714" t="s">
        <v>66</v>
      </c>
      <c r="D130" s="715"/>
      <c r="E130" s="715"/>
      <c r="F130" s="716"/>
      <c r="G130" s="722" t="str">
        <f>IF(SUM(G126:H129)=0,"",SUM(G126:H129))</f>
        <v/>
      </c>
      <c r="H130" s="723"/>
      <c r="I130" s="416" t="s">
        <v>14</v>
      </c>
      <c r="J130" s="720" t="e">
        <f>IF(SUM(J126:K129)=0,"",SUM(J126:K129))</f>
        <v>#NUM!</v>
      </c>
      <c r="K130" s="721"/>
      <c r="L130" s="721" t="str">
        <f>IF(SUM(L126:M129)=0,"",IF(計算シート!M8=0,"",SUM(L126:M129)))</f>
        <v/>
      </c>
      <c r="M130" s="721"/>
      <c r="N130" s="721" t="e">
        <f>IF(SUM(N126:O129)=0,"",IF(計算シート!M11=0,"",SUM(N126:O129)))</f>
        <v>#NUM!</v>
      </c>
      <c r="O130" s="1088"/>
    </row>
    <row r="131" spans="1:15" ht="13.5" customHeight="1">
      <c r="A131" s="315"/>
      <c r="B131" s="130"/>
      <c r="C131" s="131"/>
      <c r="D131" s="131"/>
      <c r="E131" s="131"/>
      <c r="F131" s="132"/>
      <c r="G131" s="132"/>
      <c r="H131" s="132"/>
      <c r="I131" s="417"/>
      <c r="J131" s="133"/>
      <c r="K131" s="133"/>
      <c r="L131" s="133"/>
      <c r="M131" s="133"/>
      <c r="N131" s="418"/>
      <c r="O131" s="315"/>
    </row>
    <row r="132" spans="1:15" ht="14.25" customHeight="1">
      <c r="A132" s="259"/>
      <c r="B132" s="419" t="s">
        <v>120</v>
      </c>
      <c r="C132" s="420"/>
      <c r="D132" s="420"/>
      <c r="E132" s="420"/>
      <c r="F132" s="421" t="s">
        <v>121</v>
      </c>
      <c r="G132" s="421"/>
      <c r="H132" s="421"/>
      <c r="I132" s="1058" t="s">
        <v>122</v>
      </c>
      <c r="J132" s="1059"/>
      <c r="K132" s="1058" t="s">
        <v>123</v>
      </c>
      <c r="L132" s="1089"/>
      <c r="M132" s="1084" t="s">
        <v>66</v>
      </c>
      <c r="N132" s="1085"/>
      <c r="O132" s="422"/>
    </row>
    <row r="133" spans="1:15" ht="29.25" customHeight="1">
      <c r="A133" s="315"/>
      <c r="B133" s="1008"/>
      <c r="C133" s="942" t="str">
        <f>IF(計算シート!H153=FALSE,"","土地決済時
　　　　　　～"&amp;DATEDIF(G99,G96+1,"d")&amp;"日間")</f>
        <v/>
      </c>
      <c r="D133" s="943"/>
      <c r="E133" s="944"/>
      <c r="F133" s="712" t="str">
        <f>IF(計算シート!H153=FALSE,"",G98)</f>
        <v/>
      </c>
      <c r="G133" s="713"/>
      <c r="H133" s="525" t="str">
        <f>IF(計算シート!H153=FALSE,"","万円")</f>
        <v/>
      </c>
      <c r="I133" s="708" t="str">
        <f>IF(計算シート!H153=FALSE,"",計算シート!H156)</f>
        <v/>
      </c>
      <c r="J133" s="709"/>
      <c r="K133" s="710" t="str">
        <f>IF(計算シート!H153=FALSE,"",IF(計算シート!$C$158=1,計算シート!$C$156,""))</f>
        <v/>
      </c>
      <c r="L133" s="711"/>
      <c r="M133" s="993" t="str">
        <f>IF(計算シート!$C$159=1,計算シート!H158,"")</f>
        <v/>
      </c>
      <c r="N133" s="994"/>
      <c r="O133" s="423"/>
    </row>
    <row r="134" spans="1:15" ht="29.25" customHeight="1">
      <c r="A134" s="315"/>
      <c r="B134" s="1009"/>
      <c r="C134" s="942" t="str">
        <f>IF(計算シート!H159=FALSE,"","建物契約時
　　　　　　～"&amp;DATEDIF(G102,G96+1,"d")&amp;"日間")</f>
        <v/>
      </c>
      <c r="D134" s="943"/>
      <c r="E134" s="944"/>
      <c r="F134" s="682" t="str">
        <f>IF(計算シート!H159=FALSE,"",G101)</f>
        <v/>
      </c>
      <c r="G134" s="683"/>
      <c r="H134" s="413" t="str">
        <f>IF(計算シート!H159=FALSE,"","万円")</f>
        <v/>
      </c>
      <c r="I134" s="708" t="str">
        <f>IF(計算シート!H159=FALSE,"",計算シート!H164)</f>
        <v/>
      </c>
      <c r="J134" s="709"/>
      <c r="K134" s="710" t="str">
        <f>IF(計算シート!H159=FALSE,"",IF(計算シート!$C$158=2,計算シート!$C$156,""))</f>
        <v/>
      </c>
      <c r="L134" s="711"/>
      <c r="M134" s="993" t="str">
        <f>IF(計算シート!$C$159=2,計算シート!H166,"")</f>
        <v/>
      </c>
      <c r="N134" s="994"/>
      <c r="O134" s="423"/>
    </row>
    <row r="135" spans="1:15" ht="29.25" customHeight="1">
      <c r="A135" s="315"/>
      <c r="B135" s="1009"/>
      <c r="C135" s="942" t="str">
        <f>IF(計算シート!H167=FALSE,"","基礎配筋時
　　　　　　～"&amp;DATEDIF(G105,G96+1,"d")&amp;"日間")</f>
        <v/>
      </c>
      <c r="D135" s="943"/>
      <c r="E135" s="944"/>
      <c r="F135" s="712" t="str">
        <f>IF(計算シート!H167=FALSE,"",G104)</f>
        <v/>
      </c>
      <c r="G135" s="713"/>
      <c r="H135" s="525" t="str">
        <f>IF(計算シート!H167=FALSE,"","万円")</f>
        <v/>
      </c>
      <c r="I135" s="708" t="str">
        <f>IF(計算シート!H167=FALSE,"",計算シート!H172)</f>
        <v/>
      </c>
      <c r="J135" s="709"/>
      <c r="K135" s="710" t="str">
        <f>IF(計算シート!H167=FALSE,"",IF(計算シート!$C$158=3,計算シート!$C$156,""))</f>
        <v/>
      </c>
      <c r="L135" s="711"/>
      <c r="M135" s="993" t="str">
        <f>IF(計算シート!$C$159=3,計算シート!H174,"")</f>
        <v/>
      </c>
      <c r="N135" s="994"/>
      <c r="O135" s="423"/>
    </row>
    <row r="136" spans="1:15" ht="29.25" customHeight="1">
      <c r="A136" s="315"/>
      <c r="B136" s="1009"/>
      <c r="C136" s="1079" t="str">
        <f>IF(計算シート!M153=FALSE,"","上棟時　　
　　　　　　～"&amp;DATEDIF(G108,G96+1,"d")&amp;"日間")</f>
        <v/>
      </c>
      <c r="D136" s="1080"/>
      <c r="E136" s="1081"/>
      <c r="F136" s="712" t="str">
        <f>IF(計算シート!M153=FALSE,"",G107)</f>
        <v/>
      </c>
      <c r="G136" s="713"/>
      <c r="H136" s="413" t="str">
        <f>IF(計算シート!M153=FALSE,"","万円")</f>
        <v/>
      </c>
      <c r="I136" s="708" t="str">
        <f>IF(計算シート!M153=FALSE,"",計算シート!M158)</f>
        <v/>
      </c>
      <c r="J136" s="709"/>
      <c r="K136" s="710" t="str">
        <f>IF(計算シート!M153=FALSE,"",IF(計算シート!$C$158=4,計算シート!$C$156,""))</f>
        <v/>
      </c>
      <c r="L136" s="711"/>
      <c r="M136" s="993" t="str">
        <f>IF(計算シート!$C$159=4,計算シート!M160,"")</f>
        <v/>
      </c>
      <c r="N136" s="994"/>
      <c r="O136" s="423"/>
    </row>
    <row r="137" spans="1:15" ht="30" customHeight="1">
      <c r="A137" s="315"/>
      <c r="B137" s="1010"/>
      <c r="C137" s="1079" t="str">
        <f>IF(計算シート!M161=FALSE,"","竣工時　　
　　　　　　～"&amp;DATEDIF(G111,G96+1,"d")&amp;"日間")</f>
        <v/>
      </c>
      <c r="D137" s="1080"/>
      <c r="E137" s="1081"/>
      <c r="F137" s="682" t="str">
        <f>IF(計算シート!M161=FALSE,"",G110)</f>
        <v/>
      </c>
      <c r="G137" s="683"/>
      <c r="H137" s="413" t="str">
        <f>IF(計算シート!M161=FALSE,"","万円")</f>
        <v/>
      </c>
      <c r="I137" s="708" t="str">
        <f>IF(計算シート!M161=FALSE,"",計算シート!M166)</f>
        <v/>
      </c>
      <c r="J137" s="709"/>
      <c r="K137" s="710" t="str">
        <f>IF(計算シート!M163=FALSE,"",IF(計算シート!$C$158=5,計算シート!$C$156,""))</f>
        <v/>
      </c>
      <c r="L137" s="711"/>
      <c r="M137" s="993" t="str">
        <f>IF(計算シート!$C$159=5,計算シート!M168,"")</f>
        <v/>
      </c>
      <c r="N137" s="994"/>
      <c r="O137" s="423"/>
    </row>
    <row r="138" spans="1:15" ht="13.5" customHeight="1">
      <c r="A138" s="315"/>
      <c r="B138" s="130"/>
      <c r="C138" s="134"/>
      <c r="D138" s="135"/>
      <c r="E138" s="135"/>
      <c r="F138" s="424"/>
      <c r="G138" s="424"/>
      <c r="H138" s="143"/>
      <c r="I138" s="425"/>
      <c r="J138" s="425"/>
      <c r="K138" s="426"/>
      <c r="L138" s="425"/>
      <c r="M138" s="425"/>
      <c r="N138" s="426"/>
      <c r="O138" s="315"/>
    </row>
    <row r="139" spans="1:15" ht="26.25" customHeight="1">
      <c r="A139" s="315"/>
      <c r="B139" s="1082" t="s">
        <v>124</v>
      </c>
      <c r="C139" s="1083"/>
      <c r="D139" s="1083"/>
      <c r="E139" s="1083"/>
      <c r="F139" s="526" t="str">
        <f>IF(E142=計算シート!H13,"　　※　フラット３５の最低融資手数料は"&amp;計算シート!H13&amp;"円です","")</f>
        <v>　　※　フラット３５の最低融資手数料は220000円です</v>
      </c>
      <c r="G139" s="527"/>
      <c r="H139" s="527"/>
      <c r="I139" s="527"/>
      <c r="J139" s="527"/>
      <c r="K139" s="527"/>
      <c r="L139" s="528"/>
      <c r="M139" s="427"/>
      <c r="N139" s="529"/>
      <c r="O139" s="315"/>
    </row>
    <row r="140" spans="1:15">
      <c r="A140" s="315"/>
      <c r="B140" s="1067"/>
      <c r="C140" s="1068"/>
      <c r="D140" s="1068"/>
      <c r="E140" s="953"/>
      <c r="F140" s="953"/>
      <c r="G140" s="953"/>
      <c r="H140" s="953"/>
      <c r="I140" s="928"/>
      <c r="J140" s="1005"/>
      <c r="K140" s="928"/>
      <c r="L140" s="929"/>
      <c r="M140" s="1072" t="s">
        <v>125</v>
      </c>
      <c r="N140" s="1073"/>
      <c r="O140" s="315"/>
    </row>
    <row r="141" spans="1:15">
      <c r="A141" s="315"/>
      <c r="B141" s="1043" t="s">
        <v>126</v>
      </c>
      <c r="C141" s="1044"/>
      <c r="D141" s="1045"/>
      <c r="E141" s="954" t="s">
        <v>49</v>
      </c>
      <c r="F141" s="954"/>
      <c r="G141" s="954" t="str">
        <f>IF(G142="","","ベストミックス")</f>
        <v/>
      </c>
      <c r="H141" s="954"/>
      <c r="I141" s="955" t="str">
        <f>IF(I142="","","アプラス")</f>
        <v/>
      </c>
      <c r="J141" s="956"/>
      <c r="K141" s="955" t="str">
        <f>IF(K142="","","アプラスワイド")</f>
        <v/>
      </c>
      <c r="L141" s="1090"/>
      <c r="M141" s="1039">
        <f>SUM(E142:L142)</f>
        <v>220000.00000000003</v>
      </c>
      <c r="N141" s="1040"/>
      <c r="O141" s="315"/>
    </row>
    <row r="142" spans="1:15" ht="16.5" customHeight="1">
      <c r="A142" s="315"/>
      <c r="B142" s="1046"/>
      <c r="C142" s="1047"/>
      <c r="D142" s="1048"/>
      <c r="E142" s="980">
        <f>計算シート!M130</f>
        <v>220000.00000000003</v>
      </c>
      <c r="F142" s="980"/>
      <c r="G142" s="980" t="str">
        <f>IF(計算シート!M190=0,"",計算シート!M190)</f>
        <v/>
      </c>
      <c r="H142" s="980"/>
      <c r="I142" s="951" t="str">
        <f>IF(資金計画!K28=0,"",計算シート!M147)</f>
        <v/>
      </c>
      <c r="J142" s="1069"/>
      <c r="K142" s="951" t="str">
        <f>IF(資金計画!K29=0,"",IF(資金計画!K28=0,計算シート!C197,0))</f>
        <v/>
      </c>
      <c r="L142" s="1066"/>
      <c r="M142" s="1041"/>
      <c r="N142" s="1042"/>
      <c r="O142" s="315"/>
    </row>
    <row r="143" spans="1:15">
      <c r="A143" s="315"/>
      <c r="B143" s="1043" t="str">
        <f>IF(計算シート!C162&gt;0,"つなぎ融資","")</f>
        <v/>
      </c>
      <c r="C143" s="1044"/>
      <c r="D143" s="1045"/>
      <c r="E143" s="954" t="str">
        <f>IF(B143="","","つなぎ手数料")</f>
        <v/>
      </c>
      <c r="F143" s="954"/>
      <c r="G143" s="954" t="str">
        <f>IF(B143="","","つなぎ利息")</f>
        <v/>
      </c>
      <c r="H143" s="954"/>
      <c r="I143" s="530"/>
      <c r="J143" s="531"/>
      <c r="K143" s="532"/>
      <c r="L143" s="533"/>
      <c r="M143" s="1049" t="str">
        <f>IF(B143="","",SUM(E144,G144,I144))</f>
        <v/>
      </c>
      <c r="N143" s="1050"/>
      <c r="O143" s="315"/>
    </row>
    <row r="144" spans="1:15" ht="16.5" customHeight="1">
      <c r="A144" s="315"/>
      <c r="B144" s="1046"/>
      <c r="C144" s="1047"/>
      <c r="D144" s="1048"/>
      <c r="E144" s="1091" t="str">
        <f>IF(B143="","",IF(計算シート!C162=0,0,計算シート!C156))</f>
        <v/>
      </c>
      <c r="F144" s="1042"/>
      <c r="G144" s="1091" t="str">
        <f>IF(B143="","",計算シート!C163-計算シート!C156)</f>
        <v/>
      </c>
      <c r="H144" s="1042"/>
      <c r="I144" s="428"/>
      <c r="J144" s="429"/>
      <c r="K144" s="430"/>
      <c r="L144" s="431"/>
      <c r="M144" s="1049"/>
      <c r="N144" s="1050"/>
      <c r="O144" s="315"/>
    </row>
    <row r="145" spans="2:14" ht="26.25" customHeight="1" thickBot="1">
      <c r="B145" s="1024"/>
      <c r="C145" s="1024"/>
      <c r="D145" s="1024"/>
      <c r="E145" s="1035"/>
      <c r="F145" s="1036"/>
      <c r="G145" s="1035"/>
      <c r="H145" s="1036"/>
      <c r="I145" s="1011"/>
      <c r="J145" s="1012"/>
      <c r="K145" s="1011"/>
      <c r="L145" s="1029"/>
      <c r="M145" s="940" t="str">
        <f>IF(B145="","",SUM(E145,I145,K145))</f>
        <v/>
      </c>
      <c r="N145" s="941"/>
    </row>
    <row r="146" spans="2:14" ht="26.25" customHeight="1" thickTop="1">
      <c r="B146" s="714" t="s">
        <v>127</v>
      </c>
      <c r="C146" s="715"/>
      <c r="D146" s="715"/>
      <c r="E146" s="1037"/>
      <c r="F146" s="1038"/>
      <c r="G146" s="1037"/>
      <c r="H146" s="1038"/>
      <c r="I146" s="951"/>
      <c r="J146" s="952"/>
      <c r="K146" s="951"/>
      <c r="L146" s="952"/>
      <c r="M146" s="1070">
        <f>SUM(M141:N145)</f>
        <v>220000.00000000003</v>
      </c>
      <c r="N146" s="1071"/>
    </row>
    <row r="147" spans="2:14" ht="13.5" customHeight="1">
      <c r="B147" s="986" t="s">
        <v>128</v>
      </c>
      <c r="C147" s="987"/>
      <c r="D147" s="987"/>
      <c r="E147" s="987"/>
      <c r="F147" s="987"/>
      <c r="G147" s="987"/>
      <c r="H147" s="987"/>
      <c r="I147" s="987"/>
      <c r="J147" s="987"/>
      <c r="K147" s="987"/>
      <c r="L147" s="987"/>
      <c r="M147" s="987"/>
      <c r="N147" s="987"/>
    </row>
    <row r="148" spans="2:14" ht="16.5" customHeight="1">
      <c r="B148" s="136"/>
      <c r="C148" s="137"/>
      <c r="D148" s="137"/>
      <c r="E148" s="137"/>
      <c r="F148" s="138"/>
      <c r="G148" s="138"/>
      <c r="H148" s="138"/>
      <c r="I148" s="432"/>
      <c r="J148" s="139"/>
      <c r="K148" s="139"/>
      <c r="L148" s="139"/>
      <c r="M148" s="139"/>
      <c r="N148" s="433"/>
    </row>
    <row r="149" spans="2:14" ht="17.25">
      <c r="B149" s="130"/>
      <c r="C149" s="131"/>
      <c r="D149" s="131"/>
      <c r="E149" s="131"/>
      <c r="F149" s="132"/>
      <c r="G149" s="132"/>
      <c r="H149" s="132"/>
      <c r="I149" s="417"/>
      <c r="J149" s="133"/>
      <c r="K149" s="133"/>
      <c r="L149" s="133"/>
      <c r="M149" s="133"/>
      <c r="N149" s="418"/>
    </row>
    <row r="150" spans="2:14">
      <c r="B150" s="193" t="s">
        <v>129</v>
      </c>
      <c r="C150" s="315"/>
      <c r="D150" s="315"/>
      <c r="E150" s="315"/>
      <c r="F150" s="5"/>
      <c r="G150" s="315"/>
      <c r="H150" s="315"/>
      <c r="I150" s="315"/>
      <c r="J150" s="315"/>
      <c r="K150" s="315"/>
      <c r="L150" s="315"/>
      <c r="M150" s="1015"/>
      <c r="N150" s="1015"/>
    </row>
    <row r="151" spans="2:14">
      <c r="B151" s="5"/>
      <c r="C151" s="315"/>
      <c r="D151" s="315"/>
      <c r="E151" s="315"/>
      <c r="F151" s="315"/>
      <c r="G151" s="315"/>
      <c r="H151" s="315"/>
      <c r="I151" s="315"/>
      <c r="J151" s="315"/>
      <c r="K151" s="315"/>
      <c r="L151" s="315"/>
      <c r="M151" s="1016"/>
      <c r="N151" s="1016"/>
    </row>
    <row r="152" spans="2:14" ht="22.5" customHeight="1">
      <c r="B152" s="945" t="s">
        <v>130</v>
      </c>
      <c r="C152" s="946"/>
      <c r="D152" s="946"/>
      <c r="E152" s="527"/>
      <c r="F152" s="534"/>
      <c r="G152" s="534"/>
      <c r="H152" s="534"/>
      <c r="I152" s="534"/>
      <c r="J152" s="534"/>
      <c r="K152" s="534"/>
      <c r="L152" s="534"/>
      <c r="M152" s="534"/>
      <c r="N152" s="535"/>
    </row>
    <row r="153" spans="2:14" ht="22.5" customHeight="1">
      <c r="B153" s="947"/>
      <c r="C153" s="948"/>
      <c r="D153" s="948"/>
      <c r="E153" s="434"/>
      <c r="F153" s="223" t="s">
        <v>131</v>
      </c>
      <c r="G153" s="223"/>
      <c r="H153" s="223" t="s">
        <v>132</v>
      </c>
      <c r="I153" s="223"/>
      <c r="J153" s="223" t="s">
        <v>133</v>
      </c>
      <c r="K153" s="223"/>
      <c r="L153" s="223" t="s">
        <v>134</v>
      </c>
      <c r="M153" s="223"/>
      <c r="N153" s="224" t="s">
        <v>135</v>
      </c>
    </row>
    <row r="154" spans="2:14" ht="23.25" customHeight="1">
      <c r="B154" s="769" t="str">
        <f>IF(計算シート!H18=2,"MSJフラット35　（元金均等）","MSJフラット35")</f>
        <v>MSJフラット35</v>
      </c>
      <c r="C154" s="770"/>
      <c r="D154" s="770"/>
      <c r="E154" s="771"/>
      <c r="F154" s="949">
        <f>資金計画!K20</f>
        <v>1</v>
      </c>
      <c r="G154" s="950"/>
      <c r="H154" s="949">
        <f>資金計画!K21</f>
        <v>0</v>
      </c>
      <c r="I154" s="950"/>
      <c r="J154" s="1027"/>
      <c r="K154" s="1028"/>
      <c r="L154" s="1025">
        <f>(F154+H154)*10000</f>
        <v>10000</v>
      </c>
      <c r="M154" s="1026"/>
      <c r="N154" s="435">
        <f>計算シート!C82</f>
        <v>0</v>
      </c>
    </row>
    <row r="155" spans="2:14" ht="23.25" customHeight="1">
      <c r="B155" s="764" t="str">
        <f>IF(資金計画!K24=0,"","ベストミックス")</f>
        <v/>
      </c>
      <c r="C155" s="765"/>
      <c r="D155" s="765"/>
      <c r="E155" s="766"/>
      <c r="F155" s="1017" t="str">
        <f>IF(B155="","",資金計画!K24)</f>
        <v/>
      </c>
      <c r="G155" s="1018"/>
      <c r="H155" s="1018"/>
      <c r="I155" s="1018"/>
      <c r="J155" s="1052"/>
      <c r="K155" s="1053"/>
      <c r="L155" s="1019" t="str">
        <f>IF(B155="","",F155*10000)</f>
        <v/>
      </c>
      <c r="M155" s="1020"/>
      <c r="N155" s="436" t="str">
        <f>IF(B155="","",G54)</f>
        <v/>
      </c>
    </row>
    <row r="156" spans="2:14" ht="23.25" customHeight="1">
      <c r="B156" s="1000" t="str">
        <f>IF(資金計画!K26=0,"","アプラス（１割分）")</f>
        <v/>
      </c>
      <c r="C156" s="1001"/>
      <c r="D156" s="1001"/>
      <c r="E156" s="1002"/>
      <c r="F156" s="1003" t="str">
        <f>IF(B156="","",計算シート!C102)</f>
        <v/>
      </c>
      <c r="G156" s="1004"/>
      <c r="H156" s="1004"/>
      <c r="I156" s="1004"/>
      <c r="J156" s="935"/>
      <c r="K156" s="936"/>
      <c r="L156" s="988" t="str">
        <f>IF(B156="","",F156*10000)</f>
        <v/>
      </c>
      <c r="M156" s="989"/>
      <c r="N156" s="437" t="str">
        <f>IF(B156="","",G58)</f>
        <v/>
      </c>
    </row>
    <row r="157" spans="2:14" ht="23.25" customHeight="1">
      <c r="B157" s="995" t="str">
        <f>IF(資金計画!K28=0,"","アプラス（諸費用分）")</f>
        <v/>
      </c>
      <c r="C157" s="996"/>
      <c r="D157" s="996"/>
      <c r="E157" s="997"/>
      <c r="F157" s="990"/>
      <c r="G157" s="991"/>
      <c r="H157" s="991"/>
      <c r="I157" s="992"/>
      <c r="J157" s="1033" t="str">
        <f>IF(B157="","",IF(資金計画!K28=0,0,資金計画!K27))</f>
        <v/>
      </c>
      <c r="K157" s="1034"/>
      <c r="L157" s="988" t="str">
        <f>IF(B157="","",J157*10000)</f>
        <v/>
      </c>
      <c r="M157" s="989"/>
      <c r="N157" s="437" t="str">
        <f>IF(B157="","",G58)</f>
        <v/>
      </c>
    </row>
    <row r="158" spans="2:14" ht="23.25" customHeight="1">
      <c r="B158" s="1030" t="str">
        <f>IF(資金計画!K29=0,"","アプラスワイド")</f>
        <v/>
      </c>
      <c r="C158" s="1031"/>
      <c r="D158" s="1031"/>
      <c r="E158" s="1032"/>
      <c r="F158" s="981" t="str">
        <f>IF(B158="","",計算シート!H198)</f>
        <v/>
      </c>
      <c r="G158" s="982"/>
      <c r="H158" s="982"/>
      <c r="I158" s="982"/>
      <c r="J158" s="982"/>
      <c r="K158" s="983"/>
      <c r="L158" s="1021" t="str">
        <f>IF(B158="","",F158*10000)</f>
        <v/>
      </c>
      <c r="M158" s="1022"/>
      <c r="N158" s="438" t="str">
        <f>IF(B158="","",G64)</f>
        <v/>
      </c>
    </row>
    <row r="159" spans="2:14" ht="23.25" customHeight="1" thickBot="1">
      <c r="B159" s="978" t="s">
        <v>81</v>
      </c>
      <c r="C159" s="979"/>
      <c r="D159" s="979"/>
      <c r="E159" s="1023"/>
      <c r="F159" s="957"/>
      <c r="G159" s="958"/>
      <c r="H159" s="958"/>
      <c r="I159" s="958"/>
      <c r="J159" s="958"/>
      <c r="K159" s="959"/>
      <c r="L159" s="1013">
        <f>G67</f>
        <v>-10000</v>
      </c>
      <c r="M159" s="1014"/>
      <c r="N159" s="315"/>
    </row>
    <row r="160" spans="2:14" ht="23.25" customHeight="1" thickTop="1">
      <c r="B160" s="937" t="s">
        <v>66</v>
      </c>
      <c r="C160" s="938"/>
      <c r="D160" s="938"/>
      <c r="E160" s="938"/>
      <c r="F160" s="938"/>
      <c r="G160" s="938"/>
      <c r="H160" s="938"/>
      <c r="I160" s="938"/>
      <c r="J160" s="938"/>
      <c r="K160" s="939"/>
      <c r="L160" s="1006">
        <f>SUM(L154:M159)</f>
        <v>0</v>
      </c>
      <c r="M160" s="1007"/>
      <c r="N160" s="315"/>
    </row>
    <row r="161" spans="2:14" ht="23.25" customHeight="1">
      <c r="B161" s="439"/>
      <c r="C161" s="439"/>
      <c r="D161" s="439"/>
      <c r="E161" s="439"/>
      <c r="F161" s="439"/>
      <c r="G161" s="439"/>
      <c r="H161" s="439"/>
      <c r="I161" s="439"/>
      <c r="J161" s="439"/>
      <c r="K161" s="439"/>
      <c r="L161" s="440"/>
      <c r="M161" s="440"/>
      <c r="N161" s="315"/>
    </row>
    <row r="162" spans="2:14" ht="23.25" customHeight="1">
      <c r="B162" s="925" t="str">
        <f>IF(AND(C133="",C134="",C135="",C137=""),"","プロパーつなぎローン")</f>
        <v/>
      </c>
      <c r="C162" s="926"/>
      <c r="D162" s="926"/>
      <c r="E162" s="927"/>
      <c r="F162" s="930" t="str">
        <f>IF(OR(計算シート!H159=TRUE,計算シート!H167=TRUE,計算シート!M153=TRUE,計算シート!M161=TRUE),計算シート!H163+計算シート!H171+計算シート!M157+計算シート!M165,"")</f>
        <v/>
      </c>
      <c r="G162" s="931"/>
      <c r="H162" s="930" t="str">
        <f>IF(計算シート!H153=TRUE,計算シート!H155,"")</f>
        <v/>
      </c>
      <c r="I162" s="931"/>
      <c r="J162" s="930"/>
      <c r="K162" s="934"/>
      <c r="L162" s="932" t="str">
        <f>IF(AND(F162="",H162=""),"",IF(F162="",0,F162)+IF(H162="",0,H162))</f>
        <v/>
      </c>
      <c r="M162" s="933"/>
      <c r="N162" s="315"/>
    </row>
    <row r="163" spans="2:14" ht="23.25" customHeight="1">
      <c r="B163" s="398"/>
      <c r="C163" s="398"/>
      <c r="D163" s="398"/>
      <c r="E163" s="398"/>
      <c r="F163" s="399"/>
      <c r="G163" s="398"/>
      <c r="H163" s="398"/>
      <c r="I163" s="398"/>
      <c r="J163" s="398"/>
      <c r="K163" s="398"/>
      <c r="L163" s="398"/>
      <c r="M163" s="398"/>
      <c r="N163" s="398"/>
    </row>
    <row r="164" spans="2:14" ht="14.25" thickBot="1">
      <c r="B164" s="315"/>
      <c r="C164" s="315"/>
      <c r="D164" s="315"/>
      <c r="E164" s="315"/>
      <c r="F164" s="5"/>
      <c r="G164" s="315"/>
      <c r="H164" s="315"/>
      <c r="I164" s="315"/>
      <c r="J164" s="315"/>
      <c r="K164" s="315"/>
      <c r="L164" s="315"/>
      <c r="M164" s="315"/>
      <c r="N164" s="315"/>
    </row>
    <row r="165" spans="2:14">
      <c r="B165" s="536"/>
      <c r="C165" s="537"/>
      <c r="D165" s="537"/>
      <c r="E165" s="537"/>
      <c r="F165" s="537"/>
      <c r="G165" s="537"/>
      <c r="H165" s="537"/>
      <c r="I165" s="537"/>
      <c r="J165" s="537"/>
      <c r="K165" s="537"/>
      <c r="L165" s="537"/>
      <c r="M165" s="537"/>
      <c r="N165" s="538"/>
    </row>
    <row r="166" spans="2:14">
      <c r="B166" s="140" t="s">
        <v>136</v>
      </c>
      <c r="C166" s="441"/>
      <c r="D166" s="441"/>
      <c r="E166" s="441"/>
      <c r="F166" s="441"/>
      <c r="G166" s="441"/>
      <c r="H166" s="441"/>
      <c r="I166" s="441"/>
      <c r="J166" s="441"/>
      <c r="K166" s="441"/>
      <c r="L166" s="441"/>
      <c r="M166" s="441"/>
      <c r="N166" s="442"/>
    </row>
    <row r="167" spans="2:14">
      <c r="B167" s="443" t="s">
        <v>137</v>
      </c>
      <c r="C167" s="998" t="s">
        <v>138</v>
      </c>
      <c r="D167" s="998"/>
      <c r="E167" s="998"/>
      <c r="F167" s="998"/>
      <c r="G167" s="998"/>
      <c r="H167" s="998"/>
      <c r="I167" s="998"/>
      <c r="J167" s="998"/>
      <c r="K167" s="998"/>
      <c r="L167" s="998"/>
      <c r="M167" s="998"/>
      <c r="N167" s="999"/>
    </row>
    <row r="168" spans="2:14">
      <c r="B168" s="141"/>
      <c r="C168" s="998"/>
      <c r="D168" s="998"/>
      <c r="E168" s="998"/>
      <c r="F168" s="998"/>
      <c r="G168" s="998"/>
      <c r="H168" s="998"/>
      <c r="I168" s="998"/>
      <c r="J168" s="998"/>
      <c r="K168" s="998"/>
      <c r="L168" s="998"/>
      <c r="M168" s="998"/>
      <c r="N168" s="999"/>
    </row>
    <row r="169" spans="2:14">
      <c r="B169" s="443" t="s">
        <v>137</v>
      </c>
      <c r="C169" s="142" t="s">
        <v>139</v>
      </c>
      <c r="D169" s="441"/>
      <c r="E169" s="441"/>
      <c r="F169" s="441"/>
      <c r="G169" s="441"/>
      <c r="H169" s="441"/>
      <c r="I169" s="441"/>
      <c r="J169" s="441"/>
      <c r="K169" s="441"/>
      <c r="L169" s="441"/>
      <c r="M169" s="441"/>
      <c r="N169" s="442"/>
    </row>
    <row r="170" spans="2:14">
      <c r="B170" s="443" t="s">
        <v>137</v>
      </c>
      <c r="C170" s="142" t="s">
        <v>140</v>
      </c>
      <c r="D170" s="441"/>
      <c r="E170" s="441"/>
      <c r="F170" s="441"/>
      <c r="G170" s="441"/>
      <c r="H170" s="441"/>
      <c r="I170" s="441"/>
      <c r="J170" s="441"/>
      <c r="K170" s="441"/>
      <c r="L170" s="441"/>
      <c r="M170" s="441"/>
      <c r="N170" s="442"/>
    </row>
    <row r="171" spans="2:14">
      <c r="B171" s="443" t="s">
        <v>137</v>
      </c>
      <c r="C171" s="142" t="s">
        <v>141</v>
      </c>
      <c r="D171" s="441"/>
      <c r="E171" s="441"/>
      <c r="F171" s="441"/>
      <c r="G171" s="441"/>
      <c r="H171" s="441"/>
      <c r="I171" s="441"/>
      <c r="J171" s="441"/>
      <c r="K171" s="441"/>
      <c r="L171" s="441"/>
      <c r="M171" s="441"/>
      <c r="N171" s="442"/>
    </row>
    <row r="172" spans="2:14">
      <c r="B172" s="443" t="s">
        <v>137</v>
      </c>
      <c r="C172" s="142" t="s">
        <v>142</v>
      </c>
      <c r="D172" s="441"/>
      <c r="E172" s="441"/>
      <c r="F172" s="441"/>
      <c r="G172" s="441"/>
      <c r="H172" s="441"/>
      <c r="I172" s="441"/>
      <c r="J172" s="441"/>
      <c r="K172" s="441"/>
      <c r="L172" s="441"/>
      <c r="M172" s="441"/>
      <c r="N172" s="442"/>
    </row>
    <row r="173" spans="2:14" ht="14.25" thickBot="1">
      <c r="B173" s="444"/>
      <c r="C173" s="984"/>
      <c r="D173" s="984"/>
      <c r="E173" s="984"/>
      <c r="F173" s="984"/>
      <c r="G173" s="984"/>
      <c r="H173" s="984"/>
      <c r="I173" s="984"/>
      <c r="J173" s="984"/>
      <c r="K173" s="984"/>
      <c r="L173" s="984"/>
      <c r="M173" s="984"/>
      <c r="N173" s="985"/>
    </row>
  </sheetData>
  <sheetProtection algorithmName="SHA-512" hashValue="MvTkuQqMLkAIdKhSYjBtsyupZOpDnovrSL44rP6bNyLM700ZrB7vD8WWbHRsGwPV6pI7gTX4rcLlnPnyJsd/SQ==" saltValue="ttwcP+yhw9JbotBxC57PAQ==" spinCount="100000" sheet="1" selectLockedCells="1"/>
  <mergeCells count="446">
    <mergeCell ref="C63:D66"/>
    <mergeCell ref="I18:J18"/>
    <mergeCell ref="K18:M18"/>
    <mergeCell ref="I19:J19"/>
    <mergeCell ref="K19:M19"/>
    <mergeCell ref="I20:J20"/>
    <mergeCell ref="K20:M20"/>
    <mergeCell ref="I24:O24"/>
    <mergeCell ref="I22:L22"/>
    <mergeCell ref="I23:L23"/>
    <mergeCell ref="J21:N21"/>
    <mergeCell ref="K53:M53"/>
    <mergeCell ref="G51:H51"/>
    <mergeCell ref="H53:J53"/>
    <mergeCell ref="E49:F49"/>
    <mergeCell ref="E52:F52"/>
    <mergeCell ref="E54:F54"/>
    <mergeCell ref="B38:E38"/>
    <mergeCell ref="F38:G38"/>
    <mergeCell ref="E45:F45"/>
    <mergeCell ref="A43:D43"/>
    <mergeCell ref="E48:F48"/>
    <mergeCell ref="J52:K52"/>
    <mergeCell ref="H39:K39"/>
    <mergeCell ref="O100:O111"/>
    <mergeCell ref="J97:K97"/>
    <mergeCell ref="L109:M109"/>
    <mergeCell ref="J103:K103"/>
    <mergeCell ref="G101:H101"/>
    <mergeCell ref="E98:F98"/>
    <mergeCell ref="E100:H100"/>
    <mergeCell ref="E97:H97"/>
    <mergeCell ref="J111:N111"/>
    <mergeCell ref="J102:N102"/>
    <mergeCell ref="J99:N99"/>
    <mergeCell ref="E99:F99"/>
    <mergeCell ref="G99:H99"/>
    <mergeCell ref="E102:F102"/>
    <mergeCell ref="L103:M103"/>
    <mergeCell ref="L106:M106"/>
    <mergeCell ref="M39:N39"/>
    <mergeCell ref="B51:B68"/>
    <mergeCell ref="E67:F67"/>
    <mergeCell ref="E46:F46"/>
    <mergeCell ref="G46:H46"/>
    <mergeCell ref="G48:H48"/>
    <mergeCell ref="J48:K48"/>
    <mergeCell ref="E47:F47"/>
    <mergeCell ref="G47:H47"/>
    <mergeCell ref="L65:N65"/>
    <mergeCell ref="H66:J66"/>
    <mergeCell ref="L52:N52"/>
    <mergeCell ref="G49:H49"/>
    <mergeCell ref="L58:N58"/>
    <mergeCell ref="L59:N59"/>
    <mergeCell ref="J59:K59"/>
    <mergeCell ref="C51:D53"/>
    <mergeCell ref="E59:F59"/>
    <mergeCell ref="G57:H57"/>
    <mergeCell ref="G58:H58"/>
    <mergeCell ref="B49:D49"/>
    <mergeCell ref="E51:F51"/>
    <mergeCell ref="G52:H52"/>
    <mergeCell ref="L54:N54"/>
    <mergeCell ref="K66:M66"/>
    <mergeCell ref="L67:M67"/>
    <mergeCell ref="M69:N69"/>
    <mergeCell ref="G67:H67"/>
    <mergeCell ref="L98:M98"/>
    <mergeCell ref="G111:H111"/>
    <mergeCell ref="K61:M61"/>
    <mergeCell ref="H61:J61"/>
    <mergeCell ref="G63:H63"/>
    <mergeCell ref="I63:J63"/>
    <mergeCell ref="D62:N62"/>
    <mergeCell ref="L64:N64"/>
    <mergeCell ref="C57:D61"/>
    <mergeCell ref="K57:L57"/>
    <mergeCell ref="E58:F58"/>
    <mergeCell ref="C80:D81"/>
    <mergeCell ref="E78:F78"/>
    <mergeCell ref="G77:H77"/>
    <mergeCell ref="G76:I76"/>
    <mergeCell ref="G74:H75"/>
    <mergeCell ref="B78:D78"/>
    <mergeCell ref="E110:F110"/>
    <mergeCell ref="G98:H98"/>
    <mergeCell ref="F93:O93"/>
    <mergeCell ref="N119:O119"/>
    <mergeCell ref="N120:O120"/>
    <mergeCell ref="G124:H124"/>
    <mergeCell ref="C124:F124"/>
    <mergeCell ref="E105:F105"/>
    <mergeCell ref="G118:I118"/>
    <mergeCell ref="E107:F107"/>
    <mergeCell ref="G107:H107"/>
    <mergeCell ref="E108:F108"/>
    <mergeCell ref="E111:F111"/>
    <mergeCell ref="G121:H121"/>
    <mergeCell ref="C122:E122"/>
    <mergeCell ref="G123:H123"/>
    <mergeCell ref="I113:L114"/>
    <mergeCell ref="F117:O117"/>
    <mergeCell ref="B117:E117"/>
    <mergeCell ref="N121:O121"/>
    <mergeCell ref="N122:O122"/>
    <mergeCell ref="L118:M118"/>
    <mergeCell ref="C106:D108"/>
    <mergeCell ref="C103:D105"/>
    <mergeCell ref="N123:O123"/>
    <mergeCell ref="J123:K123"/>
    <mergeCell ref="B119:B124"/>
    <mergeCell ref="N124:O124"/>
    <mergeCell ref="N118:O118"/>
    <mergeCell ref="B96:B111"/>
    <mergeCell ref="C119:E119"/>
    <mergeCell ref="L122:M122"/>
    <mergeCell ref="E145:F145"/>
    <mergeCell ref="C137:E137"/>
    <mergeCell ref="B139:E139"/>
    <mergeCell ref="E141:F141"/>
    <mergeCell ref="C136:E136"/>
    <mergeCell ref="F136:G136"/>
    <mergeCell ref="I136:J136"/>
    <mergeCell ref="C127:E127"/>
    <mergeCell ref="M132:N132"/>
    <mergeCell ref="C128:E128"/>
    <mergeCell ref="N130:O130"/>
    <mergeCell ref="K132:L132"/>
    <mergeCell ref="K141:L141"/>
    <mergeCell ref="B141:D142"/>
    <mergeCell ref="E144:F144"/>
    <mergeCell ref="G144:H144"/>
    <mergeCell ref="N129:O129"/>
    <mergeCell ref="N128:O128"/>
    <mergeCell ref="N127:O127"/>
    <mergeCell ref="K136:L136"/>
    <mergeCell ref="B126:B130"/>
    <mergeCell ref="J155:K155"/>
    <mergeCell ref="N126:O126"/>
    <mergeCell ref="C126:E126"/>
    <mergeCell ref="L129:M129"/>
    <mergeCell ref="L128:M128"/>
    <mergeCell ref="L127:M127"/>
    <mergeCell ref="L126:M126"/>
    <mergeCell ref="I132:J132"/>
    <mergeCell ref="I134:J134"/>
    <mergeCell ref="C134:E134"/>
    <mergeCell ref="G127:H127"/>
    <mergeCell ref="G128:H128"/>
    <mergeCell ref="M135:N135"/>
    <mergeCell ref="J129:K129"/>
    <mergeCell ref="J128:K128"/>
    <mergeCell ref="J127:K127"/>
    <mergeCell ref="K142:L142"/>
    <mergeCell ref="B140:D140"/>
    <mergeCell ref="I142:J142"/>
    <mergeCell ref="M136:N136"/>
    <mergeCell ref="M146:N146"/>
    <mergeCell ref="M140:N140"/>
    <mergeCell ref="G140:H140"/>
    <mergeCell ref="G142:H142"/>
    <mergeCell ref="G145:H145"/>
    <mergeCell ref="E146:F146"/>
    <mergeCell ref="G146:H146"/>
    <mergeCell ref="M141:N142"/>
    <mergeCell ref="E143:F143"/>
    <mergeCell ref="G143:H143"/>
    <mergeCell ref="B143:D144"/>
    <mergeCell ref="M143:N144"/>
    <mergeCell ref="B133:B137"/>
    <mergeCell ref="I137:J137"/>
    <mergeCell ref="M133:N133"/>
    <mergeCell ref="I145:J145"/>
    <mergeCell ref="K133:L133"/>
    <mergeCell ref="C135:E135"/>
    <mergeCell ref="F134:G134"/>
    <mergeCell ref="K137:L137"/>
    <mergeCell ref="L159:M159"/>
    <mergeCell ref="I146:J146"/>
    <mergeCell ref="M150:N151"/>
    <mergeCell ref="F155:I155"/>
    <mergeCell ref="L155:M155"/>
    <mergeCell ref="L158:M158"/>
    <mergeCell ref="B159:E159"/>
    <mergeCell ref="B146:D146"/>
    <mergeCell ref="B145:D145"/>
    <mergeCell ref="L154:M154"/>
    <mergeCell ref="B154:E154"/>
    <mergeCell ref="J154:K154"/>
    <mergeCell ref="K145:L145"/>
    <mergeCell ref="B155:E155"/>
    <mergeCell ref="B158:E158"/>
    <mergeCell ref="J157:K157"/>
    <mergeCell ref="G16:I16"/>
    <mergeCell ref="B12:D14"/>
    <mergeCell ref="E12:F13"/>
    <mergeCell ref="I14:J14"/>
    <mergeCell ref="L15:M15"/>
    <mergeCell ref="B15:D15"/>
    <mergeCell ref="E142:F142"/>
    <mergeCell ref="F158:K158"/>
    <mergeCell ref="C173:N173"/>
    <mergeCell ref="B147:N147"/>
    <mergeCell ref="L157:M157"/>
    <mergeCell ref="H162:I162"/>
    <mergeCell ref="F157:I157"/>
    <mergeCell ref="M134:N134"/>
    <mergeCell ref="B157:E157"/>
    <mergeCell ref="C167:N168"/>
    <mergeCell ref="B156:E156"/>
    <mergeCell ref="F135:G135"/>
    <mergeCell ref="L156:M156"/>
    <mergeCell ref="F156:I156"/>
    <mergeCell ref="I140:J140"/>
    <mergeCell ref="F154:G154"/>
    <mergeCell ref="L160:M160"/>
    <mergeCell ref="M137:N137"/>
    <mergeCell ref="G9:H9"/>
    <mergeCell ref="A2:G3"/>
    <mergeCell ref="E10:N10"/>
    <mergeCell ref="E9:F9"/>
    <mergeCell ref="A6:E6"/>
    <mergeCell ref="N2:O3"/>
    <mergeCell ref="B9:D11"/>
    <mergeCell ref="F11:I11"/>
    <mergeCell ref="I2:M3"/>
    <mergeCell ref="L9:M9"/>
    <mergeCell ref="J9:K9"/>
    <mergeCell ref="B8:D8"/>
    <mergeCell ref="E8:F8"/>
    <mergeCell ref="J8:K8"/>
    <mergeCell ref="L8:M8"/>
    <mergeCell ref="G8:H8"/>
    <mergeCell ref="L29:O29"/>
    <mergeCell ref="B27:D27"/>
    <mergeCell ref="I27:J27"/>
    <mergeCell ref="F26:G27"/>
    <mergeCell ref="B29:D29"/>
    <mergeCell ref="B28:D28"/>
    <mergeCell ref="I29:J29"/>
    <mergeCell ref="B162:E162"/>
    <mergeCell ref="K140:L140"/>
    <mergeCell ref="F162:G162"/>
    <mergeCell ref="L162:M162"/>
    <mergeCell ref="J162:K162"/>
    <mergeCell ref="F137:G137"/>
    <mergeCell ref="J156:K156"/>
    <mergeCell ref="B160:K160"/>
    <mergeCell ref="M145:N145"/>
    <mergeCell ref="C133:E133"/>
    <mergeCell ref="B152:D153"/>
    <mergeCell ref="H154:I154"/>
    <mergeCell ref="K146:L146"/>
    <mergeCell ref="E140:F140"/>
    <mergeCell ref="G141:H141"/>
    <mergeCell ref="I141:J141"/>
    <mergeCell ref="F159:K159"/>
    <mergeCell ref="G12:H13"/>
    <mergeCell ref="J12:K12"/>
    <mergeCell ref="I12:I13"/>
    <mergeCell ref="L12:M12"/>
    <mergeCell ref="B18:G18"/>
    <mergeCell ref="B20:C20"/>
    <mergeCell ref="J13:N13"/>
    <mergeCell ref="B30:D30"/>
    <mergeCell ref="D33:E33"/>
    <mergeCell ref="G14:H14"/>
    <mergeCell ref="J15:K15"/>
    <mergeCell ref="E15:F15"/>
    <mergeCell ref="J16:L16"/>
    <mergeCell ref="G15:H15"/>
    <mergeCell ref="F20:G20"/>
    <mergeCell ref="B26:D26"/>
    <mergeCell ref="B21:C21"/>
    <mergeCell ref="I26:J26"/>
    <mergeCell ref="I28:J28"/>
    <mergeCell ref="L28:O28"/>
    <mergeCell ref="B16:D16"/>
    <mergeCell ref="B19:C19"/>
    <mergeCell ref="F28:G29"/>
    <mergeCell ref="L27:O27"/>
    <mergeCell ref="F30:O30"/>
    <mergeCell ref="I35:J35"/>
    <mergeCell ref="M35:N35"/>
    <mergeCell ref="M38:N38"/>
    <mergeCell ref="H38:K38"/>
    <mergeCell ref="F36:K36"/>
    <mergeCell ref="B37:N37"/>
    <mergeCell ref="B32:N32"/>
    <mergeCell ref="D35:E35"/>
    <mergeCell ref="M33:N33"/>
    <mergeCell ref="M34:N34"/>
    <mergeCell ref="G54:H54"/>
    <mergeCell ref="E57:F57"/>
    <mergeCell ref="E65:F65"/>
    <mergeCell ref="I57:J57"/>
    <mergeCell ref="K56:M56"/>
    <mergeCell ref="J58:K58"/>
    <mergeCell ref="G64:H64"/>
    <mergeCell ref="J55:K55"/>
    <mergeCell ref="J65:K65"/>
    <mergeCell ref="E63:F63"/>
    <mergeCell ref="G55:H55"/>
    <mergeCell ref="H56:J56"/>
    <mergeCell ref="L55:N55"/>
    <mergeCell ref="G59:H59"/>
    <mergeCell ref="E64:F64"/>
    <mergeCell ref="J64:K64"/>
    <mergeCell ref="J54:K54"/>
    <mergeCell ref="G65:H65"/>
    <mergeCell ref="G60:I60"/>
    <mergeCell ref="J60:K60"/>
    <mergeCell ref="A96:A110"/>
    <mergeCell ref="E76:F76"/>
    <mergeCell ref="B77:D77"/>
    <mergeCell ref="C86:D87"/>
    <mergeCell ref="E80:F80"/>
    <mergeCell ref="E81:F81"/>
    <mergeCell ref="I80:J80"/>
    <mergeCell ref="C84:D85"/>
    <mergeCell ref="C82:D83"/>
    <mergeCell ref="E84:F84"/>
    <mergeCell ref="C96:D96"/>
    <mergeCell ref="E103:H103"/>
    <mergeCell ref="J108:N108"/>
    <mergeCell ref="J106:K106"/>
    <mergeCell ref="A92:D93"/>
    <mergeCell ref="G96:H96"/>
    <mergeCell ref="J105:N105"/>
    <mergeCell ref="C97:D99"/>
    <mergeCell ref="C100:D102"/>
    <mergeCell ref="E92:E93"/>
    <mergeCell ref="E101:F101"/>
    <mergeCell ref="G108:H108"/>
    <mergeCell ref="E109:H109"/>
    <mergeCell ref="E104:F104"/>
    <mergeCell ref="I83:J83"/>
    <mergeCell ref="G102:H102"/>
    <mergeCell ref="G105:H105"/>
    <mergeCell ref="C54:D56"/>
    <mergeCell ref="C67:D67"/>
    <mergeCell ref="E74:F75"/>
    <mergeCell ref="B76:D76"/>
    <mergeCell ref="E55:F55"/>
    <mergeCell ref="B74:D75"/>
    <mergeCell ref="C69:H69"/>
    <mergeCell ref="E66:G66"/>
    <mergeCell ref="H72:O72"/>
    <mergeCell ref="J67:K67"/>
    <mergeCell ref="C71:J71"/>
    <mergeCell ref="J68:K68"/>
    <mergeCell ref="G68:H68"/>
    <mergeCell ref="E68:F68"/>
    <mergeCell ref="J78:N78"/>
    <mergeCell ref="J77:N77"/>
    <mergeCell ref="A72:G72"/>
    <mergeCell ref="G78:H78"/>
    <mergeCell ref="G80:H80"/>
    <mergeCell ref="G81:H81"/>
    <mergeCell ref="J74:N75"/>
    <mergeCell ref="B114:H114"/>
    <mergeCell ref="C120:E120"/>
    <mergeCell ref="L123:M123"/>
    <mergeCell ref="L124:M124"/>
    <mergeCell ref="I81:J81"/>
    <mergeCell ref="I85:J85"/>
    <mergeCell ref="L97:M97"/>
    <mergeCell ref="G88:H88"/>
    <mergeCell ref="J100:K100"/>
    <mergeCell ref="G89:H89"/>
    <mergeCell ref="L100:M100"/>
    <mergeCell ref="I89:J89"/>
    <mergeCell ref="I88:J88"/>
    <mergeCell ref="G82:H82"/>
    <mergeCell ref="G83:H83"/>
    <mergeCell ref="I82:J82"/>
    <mergeCell ref="I90:J90"/>
    <mergeCell ref="G104:H104"/>
    <mergeCell ref="G85:H85"/>
    <mergeCell ref="I84:J84"/>
    <mergeCell ref="I86:J86"/>
    <mergeCell ref="G86:H86"/>
    <mergeCell ref="G87:H87"/>
    <mergeCell ref="I87:J87"/>
    <mergeCell ref="J126:K126"/>
    <mergeCell ref="G126:H126"/>
    <mergeCell ref="I133:J133"/>
    <mergeCell ref="K134:L134"/>
    <mergeCell ref="F133:G133"/>
    <mergeCell ref="K135:L135"/>
    <mergeCell ref="C130:F130"/>
    <mergeCell ref="C129:F129"/>
    <mergeCell ref="I135:J135"/>
    <mergeCell ref="J130:K130"/>
    <mergeCell ref="L130:M130"/>
    <mergeCell ref="G130:H130"/>
    <mergeCell ref="G129:H129"/>
    <mergeCell ref="M40:N40"/>
    <mergeCell ref="B40:D40"/>
    <mergeCell ref="B39:E39"/>
    <mergeCell ref="F39:G39"/>
    <mergeCell ref="M50:N50"/>
    <mergeCell ref="J45:K45"/>
    <mergeCell ref="J124:K124"/>
    <mergeCell ref="E77:F77"/>
    <mergeCell ref="C70:J70"/>
    <mergeCell ref="E85:F85"/>
    <mergeCell ref="G84:H84"/>
    <mergeCell ref="C88:D89"/>
    <mergeCell ref="C123:F123"/>
    <mergeCell ref="G119:H119"/>
    <mergeCell ref="G120:H120"/>
    <mergeCell ref="E106:H106"/>
    <mergeCell ref="G110:H110"/>
    <mergeCell ref="G122:H122"/>
    <mergeCell ref="J122:K122"/>
    <mergeCell ref="J109:K109"/>
    <mergeCell ref="J121:K121"/>
    <mergeCell ref="C121:E121"/>
    <mergeCell ref="C109:D111"/>
    <mergeCell ref="B113:H113"/>
    <mergeCell ref="J46:K46"/>
    <mergeCell ref="J47:K47"/>
    <mergeCell ref="D34:E34"/>
    <mergeCell ref="B34:C34"/>
    <mergeCell ref="H41:K41"/>
    <mergeCell ref="M41:N41"/>
    <mergeCell ref="L119:M119"/>
    <mergeCell ref="L120:M120"/>
    <mergeCell ref="L121:M121"/>
    <mergeCell ref="J118:K118"/>
    <mergeCell ref="J119:K119"/>
    <mergeCell ref="J120:K120"/>
    <mergeCell ref="J44:K44"/>
    <mergeCell ref="B35:C35"/>
    <mergeCell ref="H40:K40"/>
    <mergeCell ref="F40:G40"/>
    <mergeCell ref="L51:N51"/>
    <mergeCell ref="L48:N48"/>
    <mergeCell ref="K33:L35"/>
    <mergeCell ref="B33:C33"/>
    <mergeCell ref="B45:D48"/>
    <mergeCell ref="G45:H45"/>
    <mergeCell ref="F33:J33"/>
    <mergeCell ref="F34:J34"/>
  </mergeCells>
  <phoneticPr fontId="8"/>
  <conditionalFormatting sqref="C57:F61 I58:N58 G59:I60 L59:N60 J60:K60 G61:N61">
    <cfRule type="expression" dxfId="94" priority="14">
      <formula>$G$59=0</formula>
    </cfRule>
  </conditionalFormatting>
  <conditionalFormatting sqref="C70:J71">
    <cfRule type="expression" dxfId="92" priority="18">
      <formula>NOT(AND($J$45="",$J$46="",$J$47="",$J$48="",$J$52="",$J$55="",$J$59="",$J$65="",$J$67=""))</formula>
    </cfRule>
  </conditionalFormatting>
  <conditionalFormatting sqref="G101">
    <cfRule type="expression" dxfId="91" priority="83">
      <formula>K101&lt;G101</formula>
    </cfRule>
  </conditionalFormatting>
  <conditionalFormatting sqref="G98:H98">
    <cfRule type="expression" dxfId="89" priority="10">
      <formula>$G$98&gt;$L$98</formula>
    </cfRule>
  </conditionalFormatting>
  <conditionalFormatting sqref="G104:H104">
    <cfRule type="expression" dxfId="88" priority="114">
      <formula>AND($K$104&lt;$G$104,$G$104&lt;=$N$104)</formula>
    </cfRule>
    <cfRule type="expression" dxfId="87" priority="115">
      <formula>$N$104&lt;$G$104</formula>
    </cfRule>
  </conditionalFormatting>
  <conditionalFormatting sqref="G107:H107">
    <cfRule type="expression" dxfId="86" priority="123">
      <formula>AND($K$107&lt;$G$107,$G$107&lt;=$N$107)</formula>
    </cfRule>
    <cfRule type="expression" dxfId="85" priority="124">
      <formula>$N$107&lt;$G$107</formula>
    </cfRule>
  </conditionalFormatting>
  <conditionalFormatting sqref="G110:H110">
    <cfRule type="expression" dxfId="84" priority="88">
      <formula>$K$110&lt;$G$110</formula>
    </cfRule>
  </conditionalFormatting>
  <conditionalFormatting sqref="I23:L23">
    <cfRule type="expression" dxfId="83" priority="3">
      <formula>$M$22&gt;0</formula>
    </cfRule>
  </conditionalFormatting>
  <conditionalFormatting sqref="I54:N54 C54:F56 G55:I55 L55:N55 G56:N56 K57:N57">
    <cfRule type="expression" dxfId="82" priority="13">
      <formula>$G$55=0</formula>
    </cfRule>
  </conditionalFormatting>
  <conditionalFormatting sqref="M23">
    <cfRule type="expression" dxfId="72" priority="4">
      <formula>$M$22&gt;0</formula>
    </cfRule>
  </conditionalFormatting>
  <dataValidations count="24">
    <dataValidation type="whole" allowBlank="1" showInputMessage="1" showErrorMessage="1" error="15年以上最長借入年数以下に設定して下さい。" sqref="M11" xr:uid="{00000000-0002-0000-0000-000000000000}">
      <formula1>10</formula1>
      <formula2>J11</formula2>
    </dataValidation>
    <dataValidation type="whole" allowBlank="1" showInputMessage="1" showErrorMessage="1" error="利用可能な金額以下に設定して下さい。" sqref="G111:H111 G102:H102 G105:H105 G108:H108 G96:H96 G99:H99" xr:uid="{00000000-0002-0000-0000-000001000000}">
      <formula1>0</formula1>
      <formula2>L96</formula2>
    </dataValidation>
    <dataValidation allowBlank="1" showInputMessage="1" showErrorMessage="1" error="申込可能な年齢は70歳未満になります。_x000a_（親子リレー返済の場合の除く）" sqref="G48:H48" xr:uid="{00000000-0002-0000-0000-000002000000}"/>
    <dataValidation type="list" allowBlank="1" showInputMessage="1" showErrorMessage="1" error="最高借入可能額以下に設定して下さい。" sqref="G57:H57 G63:H63" xr:uid="{00000000-0002-0000-0000-000003000000}">
      <formula1>"Ａプラン,Ｂプラン"</formula1>
    </dataValidation>
    <dataValidation type="whole" allowBlank="1" showInputMessage="1" showErrorMessage="1" errorTitle="期間" error="右欄の範囲内で設定して下さい。" sqref="G54:H54" xr:uid="{00000000-0002-0000-0000-000004000000}">
      <formula1>K54</formula1>
      <formula2>M54</formula2>
    </dataValidation>
    <dataValidation type="list" allowBlank="1" showInputMessage="1" showErrorMessage="1" sqref="J60:K60" xr:uid="{00000000-0002-0000-0000-000005000000}">
      <formula1>"あり,なし"</formula1>
    </dataValidation>
    <dataValidation type="list" allowBlank="1" showInputMessage="1" showErrorMessage="1" error="最高借入可能額以下に設定して下さい。" sqref="I57:J57 I63:J63" xr:uid="{00000000-0002-0000-0000-000006000000}">
      <formula1>"カード申込,カード不要"</formula1>
    </dataValidation>
    <dataValidation type="whole" allowBlank="1" showInputMessage="1" showErrorMessage="1" error="ボーナス払いの金額を４０％以下にして下さい。" sqref="G74:H75" xr:uid="{00000000-0002-0000-0000-000007000000}">
      <formula1>0</formula1>
      <formula2>G52*0.4</formula2>
    </dataValidation>
    <dataValidation type="whole" allowBlank="1" showInputMessage="1" showErrorMessage="1" error="ボーナス払いの金額を５０％以下にして下さい。" sqref="G78:H78" xr:uid="{00000000-0002-0000-0000-000008000000}">
      <formula1>0</formula1>
      <formula2>G65/2</formula2>
    </dataValidation>
    <dataValidation type="whole" allowBlank="1" showInputMessage="1" showErrorMessage="1" error="15年以上最長借入年数以下に設定して下さい。" sqref="M49" xr:uid="{00000000-0002-0000-0000-000009000000}">
      <formula1>10</formula1>
      <formula2>G49</formula2>
    </dataValidation>
    <dataValidation type="whole" allowBlank="1" showInputMessage="1" showErrorMessage="1" error="ボーナス払いの金額を５０％以下にして下さい。" sqref="G77:H77" xr:uid="{00000000-0002-0000-0000-00000A000000}">
      <formula1>0</formula1>
      <formula2>G59/2</formula2>
    </dataValidation>
    <dataValidation type="whole" allowBlank="1" showInputMessage="1" showErrorMessage="1" error="利用可能な金額以下に設定して下さい。" sqref="H101 H110" xr:uid="{00000000-0002-0000-0000-00000B000000}">
      <formula1>0</formula1>
      <formula2>#REF!</formula2>
    </dataValidation>
    <dataValidation type="whole" operator="lessThanOrEqual" allowBlank="1" showInputMessage="1" showErrorMessage="1" errorTitle="利用可能金額を超えました。" error="利用可能金額を超えています。_x000a_入力しなおしてください。" sqref="G107:H107 G104:H104" xr:uid="{00000000-0002-0000-0000-00000C000000}">
      <formula1>N104</formula1>
    </dataValidation>
    <dataValidation type="whole" allowBlank="1" showInputMessage="1" showErrorMessage="1" error="利用可能な金額以下に設定して下さい。" sqref="G101 G110" xr:uid="{00000000-0002-0000-0000-00000D000000}">
      <formula1>0</formula1>
      <formula2>K101</formula2>
    </dataValidation>
    <dataValidation allowBlank="1" showInputMessage="1" showErrorMessage="1" error="右の範囲内で設定してください" sqref="G59:H59" xr:uid="{00000000-0002-0000-0000-00000E000000}"/>
    <dataValidation type="whole" allowBlank="1" showInputMessage="1" showErrorMessage="1" errorTitle="期間" error="右欄の範囲内で設定して下さい。" sqref="J59:K59" xr:uid="{00000000-0002-0000-0000-00000F000000}">
      <formula1>50</formula1>
      <formula2>1000</formula2>
    </dataValidation>
    <dataValidation type="whole" allowBlank="1" showInputMessage="1" showErrorMessage="1" error="つなぎ利用期間は初回つなぎ実行から最大で12カ月（1年）までです。_x000a_先行する融資より長い期間は選択できません。" sqref="G112" xr:uid="{00000000-0002-0000-0000-000010000000}">
      <formula1>1</formula1>
      <formula2>IF(OR(G100="",G103="",G106="",G109=""),12,MIN(G100,G103,G106,G109,))</formula2>
    </dataValidation>
    <dataValidation type="whole" errorStyle="warning" allowBlank="1" showInputMessage="1" showErrorMessage="1" error="利用可能な金額を超えている可能性があります。_x000a_借入日を記入してください。" sqref="G98:H98" xr:uid="{00000000-0002-0000-0000-000011000000}">
      <formula1>0</formula1>
      <formula2>L98</formula2>
    </dataValidation>
    <dataValidation type="list" allowBlank="1" showInputMessage="1" showErrorMessage="1" sqref="B27:D27" xr:uid="{00000000-0002-0000-0000-000012000000}">
      <formula1>"買取型,保証型８０％以下,保証型９０％以下,フラット５０"</formula1>
    </dataValidation>
    <dataValidation operator="notEqual" allowBlank="1" showInputMessage="1" showErrorMessage="1" error="収入合算者の年収、うち合算する金額を入力してから試算金利を入力して下さい。" sqref="N18" xr:uid="{00000000-0002-0000-0000-000013000000}"/>
    <dataValidation type="whole" allowBlank="1" showInputMessage="1" showErrorMessage="1" errorTitle="期間" error="右欄の範囲内で設定して下さい。" sqref="J67:K67" xr:uid="{00000000-0002-0000-0000-000014000000}">
      <formula1>#REF!</formula1>
      <formula2>#REF!</formula2>
    </dataValidation>
    <dataValidation type="list" allowBlank="1" showInputMessage="1" showErrorMessage="1" sqref="M23" xr:uid="{00000000-0002-0000-0000-000015000000}">
      <formula1>"する,しない"</formula1>
    </dataValidation>
    <dataValidation type="list" allowBlank="1" showInputMessage="1" showErrorMessage="1" sqref="E22:E23" xr:uid="{00000000-0002-0000-0000-000016000000}">
      <formula1>"以後,以前"</formula1>
    </dataValidation>
    <dataValidation type="whole" allowBlank="1" showInputMessage="1" showErrorMessage="1" errorTitle="期間" error="右欄の範囲内で設定して下さい。" sqref="J65:K65" xr:uid="{0C6FD7F2-44E7-4C3C-AB28-D32B3966890F}">
      <formula1>30</formula1>
      <formula2>300</formula2>
    </dataValidation>
  </dataValidations>
  <hyperlinks>
    <hyperlink ref="I113" location="入力シート!G42" display="資金計画を確認してください" xr:uid="{00000000-0004-0000-0000-000000000000}"/>
    <hyperlink ref="I113:L114" location="入力シート!B41" display="資金計画を確認してください" xr:uid="{00000000-0004-0000-0000-000001000000}"/>
    <hyperlink ref="B49:D49" location="資金計画!A1" display="資金計画はこちらへ" xr:uid="{00000000-0004-0000-0000-000002000000}"/>
  </hyperlinks>
  <printOptions horizontalCentered="1"/>
  <pageMargins left="0.39370078740157483" right="0.39370078740157483" top="0" bottom="0" header="0.51181102362204722" footer="0.51181102362204722"/>
  <pageSetup paperSize="9" fitToHeight="4" orientation="portrait" r:id="rId1"/>
  <headerFooter alignWithMargins="0">
    <oddFooter>&amp;R&amp;F</oddFooter>
  </headerFooter>
  <rowBreaks count="5" manualBreakCount="5">
    <brk id="42" max="14" man="1"/>
    <brk id="71" max="14" man="1"/>
    <brk id="91" max="14" man="1"/>
    <brk id="115" max="14" man="1"/>
    <brk id="148" max="14" man="1"/>
  </rowBreaks>
  <ignoredErrors>
    <ignoredError sqref="L15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11</xdr:col>
                    <xdr:colOff>381000</xdr:colOff>
                    <xdr:row>9</xdr:row>
                    <xdr:rowOff>57150</xdr:rowOff>
                  </from>
                  <to>
                    <xdr:col>13</xdr:col>
                    <xdr:colOff>9525</xdr:colOff>
                    <xdr:row>9</xdr:row>
                    <xdr:rowOff>285750</xdr:rowOff>
                  </to>
                </anchor>
              </controlPr>
            </control>
          </mc:Choice>
        </mc:AlternateContent>
        <mc:AlternateContent xmlns:mc="http://schemas.openxmlformats.org/markup-compatibility/2006">
          <mc:Choice Requires="x14">
            <control shapeId="1055" r:id="rId5" name="Check Box 31">
              <controlPr locked="0" defaultSize="0" autoFill="0" autoLine="0" autoPict="0">
                <anchor moveWithCells="1">
                  <from>
                    <xdr:col>8</xdr:col>
                    <xdr:colOff>171450</xdr:colOff>
                    <xdr:row>96</xdr:row>
                    <xdr:rowOff>9525</xdr:rowOff>
                  </from>
                  <to>
                    <xdr:col>9</xdr:col>
                    <xdr:colOff>0</xdr:colOff>
                    <xdr:row>97</xdr:row>
                    <xdr:rowOff>0</xdr:rowOff>
                  </to>
                </anchor>
              </controlPr>
            </control>
          </mc:Choice>
        </mc:AlternateContent>
        <mc:AlternateContent xmlns:mc="http://schemas.openxmlformats.org/markup-compatibility/2006">
          <mc:Choice Requires="x14">
            <control shapeId="1165" r:id="rId6" name="Option Button 141">
              <controlPr defaultSize="0" autoFill="0" autoLine="0" autoPict="0">
                <anchor moveWithCells="1">
                  <from>
                    <xdr:col>7</xdr:col>
                    <xdr:colOff>152400</xdr:colOff>
                    <xdr:row>26</xdr:row>
                    <xdr:rowOff>104775</xdr:rowOff>
                  </from>
                  <to>
                    <xdr:col>7</xdr:col>
                    <xdr:colOff>352425</xdr:colOff>
                    <xdr:row>26</xdr:row>
                    <xdr:rowOff>276225</xdr:rowOff>
                  </to>
                </anchor>
              </controlPr>
            </control>
          </mc:Choice>
        </mc:AlternateContent>
        <mc:AlternateContent xmlns:mc="http://schemas.openxmlformats.org/markup-compatibility/2006">
          <mc:Choice Requires="x14">
            <control shapeId="1168" r:id="rId7" name="Option Button 144">
              <controlPr defaultSize="0" autoFill="0" autoLine="0" autoPict="0">
                <anchor moveWithCells="1">
                  <from>
                    <xdr:col>7</xdr:col>
                    <xdr:colOff>152400</xdr:colOff>
                    <xdr:row>28</xdr:row>
                    <xdr:rowOff>85725</xdr:rowOff>
                  </from>
                  <to>
                    <xdr:col>7</xdr:col>
                    <xdr:colOff>352425</xdr:colOff>
                    <xdr:row>28</xdr:row>
                    <xdr:rowOff>228600</xdr:rowOff>
                  </to>
                </anchor>
              </controlPr>
            </control>
          </mc:Choice>
        </mc:AlternateContent>
        <mc:AlternateContent xmlns:mc="http://schemas.openxmlformats.org/markup-compatibility/2006">
          <mc:Choice Requires="x14">
            <control shapeId="1290" r:id="rId8" name="Check Box 266">
              <controlPr locked="0" defaultSize="0" autoFill="0" autoLine="0" autoPict="0">
                <anchor moveWithCells="1">
                  <from>
                    <xdr:col>8</xdr:col>
                    <xdr:colOff>171450</xdr:colOff>
                    <xdr:row>108</xdr:row>
                    <xdr:rowOff>9525</xdr:rowOff>
                  </from>
                  <to>
                    <xdr:col>9</xdr:col>
                    <xdr:colOff>0</xdr:colOff>
                    <xdr:row>109</xdr:row>
                    <xdr:rowOff>0</xdr:rowOff>
                  </to>
                </anchor>
              </controlPr>
            </control>
          </mc:Choice>
        </mc:AlternateContent>
        <mc:AlternateContent xmlns:mc="http://schemas.openxmlformats.org/markup-compatibility/2006">
          <mc:Choice Requires="x14">
            <control shapeId="1633" r:id="rId9" name="Check Box 609">
              <controlPr locked="0" defaultSize="0" autoFill="0" autoLine="0" autoPict="0">
                <anchor moveWithCells="1">
                  <from>
                    <xdr:col>8</xdr:col>
                    <xdr:colOff>161925</xdr:colOff>
                    <xdr:row>102</xdr:row>
                    <xdr:rowOff>9525</xdr:rowOff>
                  </from>
                  <to>
                    <xdr:col>9</xdr:col>
                    <xdr:colOff>0</xdr:colOff>
                    <xdr:row>103</xdr:row>
                    <xdr:rowOff>0</xdr:rowOff>
                  </to>
                </anchor>
              </controlPr>
            </control>
          </mc:Choice>
        </mc:AlternateContent>
        <mc:AlternateContent xmlns:mc="http://schemas.openxmlformats.org/markup-compatibility/2006">
          <mc:Choice Requires="x14">
            <control shapeId="1840" r:id="rId10" name="Check Box 816">
              <controlPr defaultSize="0" autoFill="0" autoLine="0" autoPict="0">
                <anchor moveWithCells="1">
                  <from>
                    <xdr:col>2</xdr:col>
                    <xdr:colOff>371475</xdr:colOff>
                    <xdr:row>61</xdr:row>
                    <xdr:rowOff>28575</xdr:rowOff>
                  </from>
                  <to>
                    <xdr:col>3</xdr:col>
                    <xdr:colOff>171450</xdr:colOff>
                    <xdr:row>61</xdr:row>
                    <xdr:rowOff>285750</xdr:rowOff>
                  </to>
                </anchor>
              </controlPr>
            </control>
          </mc:Choice>
        </mc:AlternateContent>
        <mc:AlternateContent xmlns:mc="http://schemas.openxmlformats.org/markup-compatibility/2006">
          <mc:Choice Requires="x14">
            <control shapeId="2" r:id="rId11" name="Option Button 817">
              <controlPr defaultSize="0" autoFill="0" autoLine="0" autoPict="0" altText="">
                <anchor moveWithCells="1">
                  <from>
                    <xdr:col>10</xdr:col>
                    <xdr:colOff>152400</xdr:colOff>
                    <xdr:row>28</xdr:row>
                    <xdr:rowOff>95250</xdr:rowOff>
                  </from>
                  <to>
                    <xdr:col>10</xdr:col>
                    <xdr:colOff>371475</xdr:colOff>
                    <xdr:row>28</xdr:row>
                    <xdr:rowOff>219075</xdr:rowOff>
                  </to>
                </anchor>
              </controlPr>
            </control>
          </mc:Choice>
        </mc:AlternateContent>
        <mc:AlternateContent xmlns:mc="http://schemas.openxmlformats.org/markup-compatibility/2006">
          <mc:Choice Requires="x14">
            <control shapeId="1843" r:id="rId12" name="Option Button 819">
              <controlPr defaultSize="0" autoFill="0" autoLine="0" autoPict="0">
                <anchor moveWithCells="1">
                  <from>
                    <xdr:col>10</xdr:col>
                    <xdr:colOff>123825</xdr:colOff>
                    <xdr:row>26</xdr:row>
                    <xdr:rowOff>85725</xdr:rowOff>
                  </from>
                  <to>
                    <xdr:col>10</xdr:col>
                    <xdr:colOff>333375</xdr:colOff>
                    <xdr:row>26</xdr:row>
                    <xdr:rowOff>276225</xdr:rowOff>
                  </to>
                </anchor>
              </controlPr>
            </control>
          </mc:Choice>
        </mc:AlternateContent>
        <mc:AlternateContent xmlns:mc="http://schemas.openxmlformats.org/markup-compatibility/2006">
          <mc:Choice Requires="x14">
            <control shapeId="1844" r:id="rId13" name="Option Button 820">
              <controlPr defaultSize="0" autoFill="0" autoLine="0" autoPict="0">
                <anchor moveWithCells="1">
                  <from>
                    <xdr:col>7</xdr:col>
                    <xdr:colOff>152400</xdr:colOff>
                    <xdr:row>25</xdr:row>
                    <xdr:rowOff>104775</xdr:rowOff>
                  </from>
                  <to>
                    <xdr:col>7</xdr:col>
                    <xdr:colOff>342900</xdr:colOff>
                    <xdr:row>25</xdr:row>
                    <xdr:rowOff>238125</xdr:rowOff>
                  </to>
                </anchor>
              </controlPr>
            </control>
          </mc:Choice>
        </mc:AlternateContent>
        <mc:AlternateContent xmlns:mc="http://schemas.openxmlformats.org/markup-compatibility/2006">
          <mc:Choice Requires="x14">
            <control shapeId="1845" r:id="rId14" name="Option Button 821">
              <controlPr defaultSize="0" autoFill="0" autoLine="0" autoPict="0">
                <anchor moveWithCells="1">
                  <from>
                    <xdr:col>10</xdr:col>
                    <xdr:colOff>123825</xdr:colOff>
                    <xdr:row>25</xdr:row>
                    <xdr:rowOff>95250</xdr:rowOff>
                  </from>
                  <to>
                    <xdr:col>10</xdr:col>
                    <xdr:colOff>333375</xdr:colOff>
                    <xdr:row>25</xdr:row>
                    <xdr:rowOff>257175</xdr:rowOff>
                  </to>
                </anchor>
              </controlPr>
            </control>
          </mc:Choice>
        </mc:AlternateContent>
        <mc:AlternateContent xmlns:mc="http://schemas.openxmlformats.org/markup-compatibility/2006">
          <mc:Choice Requires="x14">
            <control shapeId="1855" r:id="rId15" name="Check Box 31">
              <controlPr locked="0" defaultSize="0" autoFill="0" autoLine="0" autoPict="0">
                <anchor moveWithCells="1">
                  <from>
                    <xdr:col>8</xdr:col>
                    <xdr:colOff>171450</xdr:colOff>
                    <xdr:row>99</xdr:row>
                    <xdr:rowOff>9525</xdr:rowOff>
                  </from>
                  <to>
                    <xdr:col>9</xdr:col>
                    <xdr:colOff>0</xdr:colOff>
                    <xdr:row>100</xdr:row>
                    <xdr:rowOff>0</xdr:rowOff>
                  </to>
                </anchor>
              </controlPr>
            </control>
          </mc:Choice>
        </mc:AlternateContent>
        <mc:AlternateContent xmlns:mc="http://schemas.openxmlformats.org/markup-compatibility/2006">
          <mc:Choice Requires="x14">
            <control shapeId="1856" r:id="rId16" name="Check Box 266">
              <controlPr locked="0" defaultSize="0" autoFill="0" autoLine="0" autoPict="0">
                <anchor moveWithCells="1">
                  <from>
                    <xdr:col>8</xdr:col>
                    <xdr:colOff>171450</xdr:colOff>
                    <xdr:row>105</xdr:row>
                    <xdr:rowOff>9525</xdr:rowOff>
                  </from>
                  <to>
                    <xdr:col>9</xdr:col>
                    <xdr:colOff>9525</xdr:colOff>
                    <xdr:row>106</xdr:row>
                    <xdr:rowOff>9525</xdr:rowOff>
                  </to>
                </anchor>
              </controlPr>
            </control>
          </mc:Choice>
        </mc:AlternateContent>
        <mc:AlternateContent xmlns:mc="http://schemas.openxmlformats.org/markup-compatibility/2006">
          <mc:Choice Requires="x14">
            <control shapeId="1858" r:id="rId17" name="Check Box 834">
              <controlPr defaultSize="0" autoFill="0" autoLine="0" autoPict="0">
                <anchor moveWithCells="1">
                  <from>
                    <xdr:col>13</xdr:col>
                    <xdr:colOff>200025</xdr:colOff>
                    <xdr:row>49</xdr:row>
                    <xdr:rowOff>171450</xdr:rowOff>
                  </from>
                  <to>
                    <xdr:col>13</xdr:col>
                    <xdr:colOff>409575</xdr:colOff>
                    <xdr:row>50</xdr:row>
                    <xdr:rowOff>38100</xdr:rowOff>
                  </to>
                </anchor>
              </controlPr>
            </control>
          </mc:Choice>
        </mc:AlternateContent>
        <mc:AlternateContent xmlns:mc="http://schemas.openxmlformats.org/markup-compatibility/2006">
          <mc:Choice Requires="x14">
            <control shapeId="1859" r:id="rId18" name="Check Box 2">
              <controlPr locked="0" defaultSize="0" autoFill="0" autoLine="0" autoPict="0">
                <anchor moveWithCells="1">
                  <from>
                    <xdr:col>12</xdr:col>
                    <xdr:colOff>266700</xdr:colOff>
                    <xdr:row>12</xdr:row>
                    <xdr:rowOff>66675</xdr:rowOff>
                  </from>
                  <to>
                    <xdr:col>13</xdr:col>
                    <xdr:colOff>447675</xdr:colOff>
                    <xdr:row>12</xdr:row>
                    <xdr:rowOff>295275</xdr:rowOff>
                  </to>
                </anchor>
              </controlPr>
            </control>
          </mc:Choice>
        </mc:AlternateContent>
        <mc:AlternateContent xmlns:mc="http://schemas.openxmlformats.org/markup-compatibility/2006">
          <mc:Choice Requires="x14">
            <control shapeId="1860" r:id="rId19" name="Option Button 836">
              <controlPr defaultSize="0" autoFill="0" autoLine="0" autoPict="0">
                <anchor moveWithCells="1">
                  <from>
                    <xdr:col>5</xdr:col>
                    <xdr:colOff>409575</xdr:colOff>
                    <xdr:row>15</xdr:row>
                    <xdr:rowOff>95250</xdr:rowOff>
                  </from>
                  <to>
                    <xdr:col>6</xdr:col>
                    <xdr:colOff>161925</xdr:colOff>
                    <xdr:row>15</xdr:row>
                    <xdr:rowOff>257175</xdr:rowOff>
                  </to>
                </anchor>
              </controlPr>
            </control>
          </mc:Choice>
        </mc:AlternateContent>
        <mc:AlternateContent xmlns:mc="http://schemas.openxmlformats.org/markup-compatibility/2006">
          <mc:Choice Requires="x14">
            <control shapeId="1861" r:id="rId20" name="Option Button 837">
              <controlPr defaultSize="0" autoFill="0" autoLine="0" autoPict="0">
                <anchor moveWithCells="1">
                  <from>
                    <xdr:col>8</xdr:col>
                    <xdr:colOff>438150</xdr:colOff>
                    <xdr:row>15</xdr:row>
                    <xdr:rowOff>76200</xdr:rowOff>
                  </from>
                  <to>
                    <xdr:col>9</xdr:col>
                    <xdr:colOff>180975</xdr:colOff>
                    <xdr:row>15</xdr:row>
                    <xdr:rowOff>247650</xdr:rowOff>
                  </to>
                </anchor>
              </controlPr>
            </control>
          </mc:Choice>
        </mc:AlternateContent>
        <mc:AlternateContent xmlns:mc="http://schemas.openxmlformats.org/markup-compatibility/2006">
          <mc:Choice Requires="x14">
            <control shapeId="1863" r:id="rId21" name="Option Button 839">
              <controlPr defaultSize="0" autoFill="0" autoLine="0" autoPict="0">
                <anchor moveWithCells="1">
                  <from>
                    <xdr:col>7</xdr:col>
                    <xdr:colOff>152400</xdr:colOff>
                    <xdr:row>27</xdr:row>
                    <xdr:rowOff>38100</xdr:rowOff>
                  </from>
                  <to>
                    <xdr:col>7</xdr:col>
                    <xdr:colOff>333375</xdr:colOff>
                    <xdr:row>27</xdr:row>
                    <xdr:rowOff>257175</xdr:rowOff>
                  </to>
                </anchor>
              </controlPr>
            </control>
          </mc:Choice>
        </mc:AlternateContent>
        <mc:AlternateContent xmlns:mc="http://schemas.openxmlformats.org/markup-compatibility/2006">
          <mc:Choice Requires="x14">
            <control shapeId="1864" r:id="rId22" name="Option Button 840">
              <controlPr defaultSize="0" autoFill="0" autoLine="0" autoPict="0">
                <anchor moveWithCells="1">
                  <from>
                    <xdr:col>10</xdr:col>
                    <xdr:colOff>123825</xdr:colOff>
                    <xdr:row>27</xdr:row>
                    <xdr:rowOff>28575</xdr:rowOff>
                  </from>
                  <to>
                    <xdr:col>10</xdr:col>
                    <xdr:colOff>323850</xdr:colOff>
                    <xdr:row>27</xdr:row>
                    <xdr:rowOff>238125</xdr:rowOff>
                  </to>
                </anchor>
              </controlPr>
            </control>
          </mc:Choice>
        </mc:AlternateContent>
        <mc:AlternateContent xmlns:mc="http://schemas.openxmlformats.org/markup-compatibility/2006">
          <mc:Choice Requires="x14">
            <control shapeId="1865" r:id="rId23" name="Group Box 841">
              <controlPr defaultSize="0" print="0" autoFill="0" autoPict="0" altText="">
                <anchor moveWithCells="1">
                  <from>
                    <xdr:col>7</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867" r:id="rId24" name="Group Box 843">
              <controlPr defaultSize="0" autoFill="0" autoPict="0">
                <anchor moveWithCells="1">
                  <from>
                    <xdr:col>7</xdr:col>
                    <xdr:colOff>0</xdr:colOff>
                    <xdr:row>26</xdr:row>
                    <xdr:rowOff>0</xdr:rowOff>
                  </from>
                  <to>
                    <xdr:col>15</xdr:col>
                    <xdr:colOff>0</xdr:colOff>
                    <xdr:row>28</xdr:row>
                    <xdr:rowOff>0</xdr:rowOff>
                  </to>
                </anchor>
              </controlPr>
            </control>
          </mc:Choice>
        </mc:AlternateContent>
        <mc:AlternateContent xmlns:mc="http://schemas.openxmlformats.org/markup-compatibility/2006">
          <mc:Choice Requires="x14">
            <control shapeId="1869" r:id="rId25" name="Group Box 845">
              <controlPr defaultSize="0" autoFill="0" autoPict="0">
                <anchor moveWithCells="1">
                  <from>
                    <xdr:col>7</xdr:col>
                    <xdr:colOff>0</xdr:colOff>
                    <xdr:row>28</xdr:row>
                    <xdr:rowOff>0</xdr:rowOff>
                  </from>
                  <to>
                    <xdr:col>15</xdr:col>
                    <xdr:colOff>0</xdr:colOff>
                    <xdr:row>29</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F8E332A2-0D41-4B4D-A55B-790289DD2AD1}">
            <xm:f>計算シート!$H$21&gt;1</xm:f>
            <x14:dxf>
              <font>
                <color theme="0"/>
              </font>
              <fill>
                <patternFill>
                  <bgColor rgb="FF96460A"/>
                </patternFill>
              </fill>
            </x14:dxf>
          </x14:cfRule>
          <xm:sqref>B27:D27</xm:sqref>
        </x14:conditionalFormatting>
        <x14:conditionalFormatting xmlns:xm="http://schemas.microsoft.com/office/excel/2006/main">
          <x14:cfRule type="expression" priority="173" id="{3A159697-AEF8-4393-9487-E8ACF661F86D}">
            <xm:f>計算シート!$C$161&gt;計算シート!$C$160</xm:f>
            <x14:dxf>
              <fill>
                <patternFill>
                  <bgColor theme="0" tint="-0.499984740745262"/>
                </patternFill>
              </fill>
            </x14:dxf>
          </x14:cfRule>
          <xm:sqref>C96 C97:D112 I113</xm:sqref>
        </x14:conditionalFormatting>
        <x14:conditionalFormatting xmlns:xm="http://schemas.microsoft.com/office/excel/2006/main">
          <x14:cfRule type="expression" priority="28" id="{F3F55F35-C871-4982-8382-8DF8BA1DB97F}">
            <xm:f>OR(資金計画!$Q$3=TRUE,計算シート!$C$80=TRUE)</xm:f>
            <x14:dxf>
              <fill>
                <patternFill>
                  <bgColor rgb="FF99FF99"/>
                </patternFill>
              </fill>
            </x14:dxf>
          </x14:cfRule>
          <xm:sqref>C69:H69</xm:sqref>
        </x14:conditionalFormatting>
        <x14:conditionalFormatting xmlns:xm="http://schemas.microsoft.com/office/excel/2006/main">
          <x14:cfRule type="cellIs" priority="11" operator="notBetween" id="{867E18E0-B7C6-4FAD-9758-B95B01B5B088}">
            <xm:f>IF(計算シート!$H$21=0,36,計算シート!$C$54)</xm:f>
            <xm:f>IF(計算シート!$H$21=0,計算シート!$H$54,計算シート!$C$53)</xm:f>
            <x14:dxf>
              <fill>
                <patternFill>
                  <bgColor theme="0" tint="-0.499984740745262"/>
                </patternFill>
              </fill>
            </x14:dxf>
          </x14:cfRule>
          <xm:sqref>G51:H51</xm:sqref>
        </x14:conditionalFormatting>
        <x14:conditionalFormatting xmlns:xm="http://schemas.microsoft.com/office/excel/2006/main">
          <x14:cfRule type="expression" priority="32" id="{8A2B1C5C-0F18-4792-8B6D-EA9690C34B41}">
            <xm:f>計算シート!$H$95=2</xm:f>
            <x14:dxf>
              <font>
                <color rgb="FFFFFF99"/>
              </font>
            </x14:dxf>
          </x14:cfRule>
          <xm:sqref>I27:O27 I28 K28:L28 I29:O29</xm:sqref>
        </x14:conditionalFormatting>
        <x14:conditionalFormatting xmlns:xm="http://schemas.microsoft.com/office/excel/2006/main">
          <x14:cfRule type="expression" priority="82" id="{FC7A66C6-65BC-4149-9871-52DC93AF9BB3}">
            <xm:f>$G$59&gt;計算シート!$H$33</xm:f>
            <x14:dxf>
              <font>
                <b/>
                <i val="0"/>
                <color rgb="FFFF0000"/>
              </font>
              <fill>
                <patternFill patternType="solid">
                  <fgColor auto="1"/>
                  <bgColor rgb="FFFFFF99"/>
                </patternFill>
              </fill>
              <border>
                <left style="thin">
                  <color auto="1"/>
                </left>
                <right style="thin">
                  <color auto="1"/>
                </right>
                <top style="thin">
                  <color auto="1"/>
                </top>
                <bottom style="thin">
                  <color auto="1"/>
                </bottom>
              </border>
            </x14:dxf>
          </x14:cfRule>
          <xm:sqref>J60:K60</xm:sqref>
        </x14:conditionalFormatting>
        <x14:conditionalFormatting xmlns:xm="http://schemas.microsoft.com/office/excel/2006/main">
          <x14:cfRule type="expression" priority="27" id="{F27A6AC9-5247-4C96-8421-14AB93D30D99}">
            <xm:f>OR($G$51&lt;IF(計算シート!$H$21=0,36,計算シート!C54),IF(計算シート!$H$21=0,計算シート!$H$54,計算シート!C53)&lt;$G$51)</xm:f>
            <x14:dxf>
              <fill>
                <patternFill>
                  <bgColor rgb="FFFF0000"/>
                </patternFill>
              </fill>
            </x14:dxf>
          </x14:cfRule>
          <xm:sqref>L51:N51</xm:sqref>
        </x14:conditionalFormatting>
        <x14:conditionalFormatting xmlns:xm="http://schemas.microsoft.com/office/excel/2006/main">
          <x14:cfRule type="expression" priority="25" id="{3C24C683-CBA6-4962-8090-19B446C96BEF}">
            <xm:f>OR($G$52&lt;100,資金計画!I22&lt;$G$52)</xm:f>
            <x14:dxf>
              <fill>
                <patternFill>
                  <bgColor rgb="FFFF0000"/>
                </patternFill>
              </fill>
            </x14:dxf>
          </x14:cfRule>
          <xm:sqref>L52:N52</xm:sqref>
        </x14:conditionalFormatting>
        <x14:conditionalFormatting xmlns:xm="http://schemas.microsoft.com/office/excel/2006/main">
          <x14:cfRule type="expression" priority="24" id="{F28AED34-2DA0-4853-96A7-A5CA0A3E854E}">
            <xm:f>AND($G$55&gt;0,OR($G$54&lt;計算シート!C54,$G$51&lt;$G$54))</xm:f>
            <x14:dxf>
              <fill>
                <patternFill>
                  <bgColor rgb="FFFF0000"/>
                </patternFill>
              </fill>
            </x14:dxf>
          </x14:cfRule>
          <xm:sqref>L54:N54</xm:sqref>
        </x14:conditionalFormatting>
        <x14:conditionalFormatting xmlns:xm="http://schemas.microsoft.com/office/excel/2006/main">
          <x14:cfRule type="expression" priority="19" id="{B63242A4-FA28-40D0-9F76-AE3873A68F2A}">
            <xm:f>AND(NOT($G$55=0),OR($G$55&lt;50,資金計画!I24&lt;$G$55))</xm:f>
            <x14:dxf>
              <fill>
                <patternFill>
                  <bgColor rgb="FFFF0000"/>
                </patternFill>
              </fill>
            </x14:dxf>
          </x14:cfRule>
          <xm:sqref>L55:N55</xm:sqref>
        </x14:conditionalFormatting>
        <x14:conditionalFormatting xmlns:xm="http://schemas.microsoft.com/office/excel/2006/main">
          <x14:cfRule type="expression" priority="20" id="{38E76E9D-CA21-48B0-B4E5-241B39BF5F2B}">
            <xm:f>OR($G$58&lt;計算シート!M33,計算シート!H144&lt;$G$58)</xm:f>
            <x14:dxf>
              <fill>
                <patternFill>
                  <bgColor rgb="FFFF0000"/>
                </patternFill>
              </fill>
            </x14:dxf>
          </x14:cfRule>
          <xm:sqref>L58:N58</xm:sqref>
        </x14:conditionalFormatting>
        <x14:conditionalFormatting xmlns:xm="http://schemas.microsoft.com/office/excel/2006/main">
          <x14:cfRule type="expression" priority="23" id="{BE45E398-5946-412E-A254-848841910454}">
            <xm:f>AND($G$59&gt;0,OR($G$59&lt;計算シート!M35,資金計画!K28&lt;$G$59))</xm:f>
            <x14:dxf>
              <fill>
                <patternFill>
                  <bgColor rgb="FFFF0000"/>
                </patternFill>
              </fill>
            </x14:dxf>
          </x14:cfRule>
          <xm:sqref>L59:N59</xm:sqref>
        </x14:conditionalFormatting>
        <x14:conditionalFormatting xmlns:xm="http://schemas.microsoft.com/office/excel/2006/main">
          <x14:cfRule type="expression" priority="31" id="{59A880FE-B1BF-46BB-A94C-1318685E8801}">
            <xm:f>計算シート!$H$96=2</xm:f>
            <x14:dxf>
              <font>
                <color rgb="FFFFFF99"/>
              </font>
            </x14:dxf>
          </x14:cfRule>
          <xm:sqref>L29:O29</xm:sqref>
        </x14:conditionalFormatting>
        <x14:conditionalFormatting xmlns:xm="http://schemas.microsoft.com/office/excel/2006/main">
          <x14:cfRule type="expression" priority="22" id="{5BF98A4F-CB80-4010-82B8-0559261B44F2}">
            <xm:f>計算シート!$C$80=TRUE</xm:f>
            <x14:dxf>
              <fill>
                <patternFill>
                  <bgColor rgb="FF99FF99"/>
                </patternFill>
              </fill>
            </x14:dxf>
          </x14:cfRule>
          <xm:sqref>M50:N50</xm:sqref>
        </x14:conditionalFormatting>
        <x14:conditionalFormatting xmlns:xm="http://schemas.microsoft.com/office/excel/2006/main">
          <x14:cfRule type="cellIs" priority="41" operator="greaterThan" id="{22DD94E4-DE55-4628-9283-46B3A47E94E1}">
            <xm:f>IF(計算シート!$H$21=3,20,IF($I$14&gt;=400,35,30))</xm:f>
            <x14:dxf>
              <font>
                <color rgb="FFFF0000"/>
              </font>
            </x14:dxf>
          </x14:cfRule>
          <xm:sqref>M69:N69</xm:sqref>
        </x14:conditionalFormatting>
        <x14:conditionalFormatting xmlns:xm="http://schemas.microsoft.com/office/excel/2006/main">
          <x14:cfRule type="expression" priority="132" id="{C5B90CAF-8E75-4533-B74A-07CB9DB56E19}">
            <xm:f>OR(計算シート!H159=TRUE,計算シート!$M$176=TRUE)</xm:f>
            <x14:dxf>
              <fill>
                <patternFill>
                  <bgColor rgb="FFCCFFCC"/>
                </patternFill>
              </fill>
            </x14:dxf>
          </x14:cfRule>
          <xm:sqref>O100:O111</xm:sqref>
        </x14:conditionalFormatting>
      </x14:conditionalFormattings>
    </ext>
    <ext xmlns:x14="http://schemas.microsoft.com/office/spreadsheetml/2009/9/main" uri="{CCE6A557-97BC-4b89-ADB6-D9C93CAAB3DF}">
      <x14:dataValidations xmlns:xm="http://schemas.microsoft.com/office/excel/2006/main" count="9">
        <x14:dataValidation type="list" showInputMessage="1" showErrorMessage="1" xr:uid="{00000000-0002-0000-0000-000017000000}">
          <x14:formula1>
            <xm:f>ポイントメニュー!$A$2:$A$8</xm:f>
          </x14:formula1>
          <xm:sqref>K18:M18</xm:sqref>
        </x14:dataValidation>
        <x14:dataValidation type="list" operator="notEqual" allowBlank="1" showInputMessage="1" showErrorMessage="1" error="収入合算者の年収、うち合算する金額を入力してから試算金利を入力して下さい。" xr:uid="{00000000-0002-0000-0000-000018000000}">
          <x14:formula1>
            <xm:f>ポイントメニュー!$A$11:$A$17</xm:f>
          </x14:formula1>
          <xm:sqref>K19:M19</xm:sqref>
        </x14:dataValidation>
        <x14:dataValidation type="list" operator="notEqual" allowBlank="1" showInputMessage="1" showErrorMessage="1" error="収入合算者の年収、うち合算する金額を入力してから試算金利を入力して下さい。" xr:uid="{00000000-0002-0000-0000-000019000000}">
          <x14:formula1>
            <xm:f>ポイントメニュー!$A$20:$A$24</xm:f>
          </x14:formula1>
          <xm:sqref>K20:M20</xm:sqref>
        </x14:dataValidation>
        <x14:dataValidation type="whole" allowBlank="1" showInputMessage="1" showErrorMessage="1" errorTitle="期間" error="右の欄の範囲で設定してください" xr:uid="{00000000-0002-0000-0000-00001A000000}">
          <x14:formula1>
            <xm:f>計算シート!M38</xm:f>
          </x14:formula1>
          <x14:formula2>
            <xm:f>計算シート!H149</xm:f>
          </x14:formula2>
          <xm:sqref>G64:H64</xm:sqref>
        </x14:dataValidation>
        <x14:dataValidation type="whole" allowBlank="1" showInputMessage="1" showErrorMessage="1" error="右の範囲内で設定してください" xr:uid="{00000000-0002-0000-0000-00001B000000}">
          <x14:formula1>
            <xm:f>計算シート!M40</xm:f>
          </x14:formula1>
          <x14:formula2>
            <xm:f>計算シート!#REF!</xm:f>
          </x14:formula2>
          <xm:sqref>G65:H65</xm:sqref>
        </x14:dataValidation>
        <x14:dataValidation type="whole" allowBlank="1" showInputMessage="1" showErrorMessage="1" errorTitle="期間" error="右の欄の範囲で設定してください" xr:uid="{00000000-0002-0000-0000-00001C000000}">
          <x14:formula1>
            <xm:f>計算シート!M33</xm:f>
          </x14:formula1>
          <x14:formula2>
            <xm:f>計算シート!H144</xm:f>
          </x14:formula2>
          <xm:sqref>G58:H58</xm:sqref>
        </x14:dataValidation>
        <x14:dataValidation type="whole" allowBlank="1" showInputMessage="1" showErrorMessage="1" errorTitle="期間" error="右欄の範囲内で設定して下さい。" xr:uid="{00000000-0002-0000-0000-00001D000000}">
          <x14:formula1>
            <xm:f>IF(計算シート!H21=0,36,計算シート!C54)</xm:f>
          </x14:formula1>
          <x14:formula2>
            <xm:f>IF(計算シート!H21=0,計算シート!H54,計算シート!C53)</xm:f>
          </x14:formula2>
          <xm:sqref>G51:H51</xm:sqref>
        </x14:dataValidation>
        <x14:dataValidation type="whole" allowBlank="1" showInputMessage="1" showErrorMessage="1" errorTitle="期間" error="右欄の範囲内で設定して下さい。" xr:uid="{00000000-0002-0000-0000-00001E000000}">
          <x14:formula1>
            <xm:f>100</xm:f>
          </x14:formula1>
          <x14:formula2>
            <xm:f>IF(資金計画!I22=0,SUM(J45:K48),資金計画!I22)</xm:f>
          </x14:formula2>
          <xm:sqref>J52:K52</xm:sqref>
        </x14:dataValidation>
        <x14:dataValidation type="whole" errorStyle="warning" allowBlank="1" showInputMessage="1" showErrorMessage="1" errorTitle="期間" error="右欄の範囲内で設定して下さい。" xr:uid="{00000000-0002-0000-0000-00001F000000}">
          <x14:formula1>
            <xm:f>50</xm:f>
          </x14:formula1>
          <x14:formula2>
            <xm:f>IF(資金計画!I24=0,SUM(J45:K48),資金計画!I24)</xm:f>
          </x14:formula2>
          <xm:sqref>J55:K55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CCFFFF"/>
  </sheetPr>
  <dimension ref="A1:O53"/>
  <sheetViews>
    <sheetView topLeftCell="A6" zoomScale="90" zoomScaleNormal="90" workbookViewId="0">
      <selection activeCell="D2" sqref="D2:E2"/>
    </sheetView>
  </sheetViews>
  <sheetFormatPr defaultRowHeight="17.25" customHeight="1"/>
  <cols>
    <col min="1" max="1" width="12.125" customWidth="1"/>
    <col min="2" max="2" width="10.125" hidden="1" customWidth="1"/>
    <col min="3" max="9" width="12.125" customWidth="1"/>
    <col min="10" max="16" width="13.125" customWidth="1"/>
  </cols>
  <sheetData>
    <row r="1" spans="1:15" ht="17.25" customHeight="1">
      <c r="C1" t="s">
        <v>619</v>
      </c>
    </row>
    <row r="2" spans="1:15" ht="17.25" customHeight="1">
      <c r="D2" s="1591" t="str">
        <f>IF(計算シート!H18=1,"フラット３５元利均等",0)</f>
        <v>フラット３５元利均等</v>
      </c>
      <c r="E2" s="1591"/>
      <c r="F2" s="1591">
        <f>IF(資金計画!K24&gt;0,"ベストミックス",0)</f>
        <v>0</v>
      </c>
      <c r="G2" s="1591"/>
      <c r="H2" s="1591">
        <f>IF(資金計画!K29&gt;0,"アプラスワイド",0)</f>
        <v>0</v>
      </c>
      <c r="I2" s="1591"/>
    </row>
    <row r="3" spans="1:15" ht="17.25" customHeight="1">
      <c r="D3" s="1591">
        <f>IF(計算シート!H18=1,0,"フラット３5元金均等")</f>
        <v>0</v>
      </c>
      <c r="E3" s="1591"/>
      <c r="F3" s="1591">
        <f>IF(資金計画!K28&gt;0,"アプラス",0)</f>
        <v>0</v>
      </c>
      <c r="G3" s="1591"/>
      <c r="H3" s="1592" t="s">
        <v>620</v>
      </c>
      <c r="I3" s="1593"/>
    </row>
    <row r="5" spans="1:15" ht="26.25" customHeight="1">
      <c r="A5" s="1604" t="str">
        <f>IF(印刷ページ!A2="","",印刷ページ!A2)</f>
        <v/>
      </c>
      <c r="B5" s="1604"/>
      <c r="C5" s="1604"/>
      <c r="D5" s="225" t="s">
        <v>7</v>
      </c>
      <c r="E5" s="1604" t="str">
        <f>IF(印刷ページ!F2="","",印刷ページ!F2)</f>
        <v/>
      </c>
      <c r="F5" s="1604"/>
      <c r="G5" s="225" t="s">
        <v>7</v>
      </c>
      <c r="H5" s="225" t="s">
        <v>621</v>
      </c>
      <c r="I5" s="95" t="str">
        <f>IF(F2=0,"","2/"&amp;5-COUNT(D2:I3))</f>
        <v/>
      </c>
    </row>
    <row r="6" spans="1:15" ht="17.25" customHeight="1">
      <c r="F6" s="104"/>
    </row>
    <row r="7" spans="1:15" ht="17.25" customHeight="1">
      <c r="D7" s="225"/>
      <c r="I7" s="1640" t="str">
        <f>IF(F2=0,"対象外です","")</f>
        <v>対象外です</v>
      </c>
    </row>
    <row r="8" spans="1:15" ht="17.25" customHeight="1">
      <c r="D8" s="593" t="s">
        <v>622</v>
      </c>
      <c r="F8" s="1605" t="s">
        <v>623</v>
      </c>
      <c r="G8" s="1606"/>
      <c r="H8" s="1607"/>
      <c r="I8" s="1601"/>
      <c r="J8" s="9"/>
      <c r="K8" s="9"/>
      <c r="L8" s="9"/>
      <c r="M8" s="9"/>
    </row>
    <row r="9" spans="1:15" ht="17.25" customHeight="1">
      <c r="D9" s="1624" t="str">
        <f>IF(E12="","",計算シート!H186)</f>
        <v/>
      </c>
      <c r="F9" s="1626" t="str">
        <f>IF(E12="","",計算シート!C186)</f>
        <v/>
      </c>
      <c r="G9" s="1627"/>
      <c r="H9" s="1628"/>
      <c r="I9" s="1601"/>
      <c r="K9" s="233"/>
      <c r="L9" s="233"/>
      <c r="M9" s="233"/>
    </row>
    <row r="10" spans="1:15" ht="17.25" customHeight="1">
      <c r="D10" s="1625"/>
      <c r="F10" s="1629"/>
      <c r="G10" s="1630"/>
      <c r="H10" s="1631"/>
      <c r="I10" s="1601"/>
      <c r="K10" s="233"/>
      <c r="L10" s="233"/>
      <c r="M10" s="233"/>
      <c r="N10" s="95"/>
      <c r="O10" s="95"/>
    </row>
    <row r="11" spans="1:15" ht="17.25" customHeight="1">
      <c r="D11" s="240"/>
      <c r="E11" s="593" t="s">
        <v>392</v>
      </c>
      <c r="F11" s="1605" t="s">
        <v>624</v>
      </c>
      <c r="G11" s="1606"/>
      <c r="H11" s="1607"/>
      <c r="I11" s="1601"/>
      <c r="K11" s="233"/>
      <c r="L11" s="233"/>
      <c r="M11" s="233"/>
      <c r="N11" s="95"/>
      <c r="O11" s="95"/>
    </row>
    <row r="12" spans="1:15" ht="17.25" customHeight="1">
      <c r="C12" s="1632" t="s">
        <v>90</v>
      </c>
      <c r="D12" s="1633"/>
      <c r="E12" s="481" t="str">
        <f>IF(計算シート!H188=0,"",計算シート!H188)</f>
        <v/>
      </c>
      <c r="F12" s="1634" t="str">
        <f>IF(E12="","",計算シート!H189)</f>
        <v/>
      </c>
      <c r="G12" s="1635"/>
      <c r="H12" s="1636"/>
      <c r="I12" s="1601"/>
    </row>
    <row r="13" spans="1:15" ht="17.25" customHeight="1">
      <c r="C13" s="482" t="str">
        <f>IF(計算シート!A144=0,"",計算シート!A144)</f>
        <v/>
      </c>
      <c r="D13" s="482"/>
      <c r="E13" s="482"/>
      <c r="F13" s="483"/>
      <c r="G13" s="483"/>
      <c r="H13" s="483"/>
      <c r="I13" s="1640"/>
      <c r="N13" s="95"/>
      <c r="O13" s="95"/>
    </row>
    <row r="14" spans="1:15" ht="17.25" customHeight="1">
      <c r="E14" s="232"/>
      <c r="F14" s="239"/>
      <c r="G14" s="239"/>
      <c r="H14" s="239"/>
      <c r="I14" s="30"/>
      <c r="N14" s="95"/>
      <c r="O14" s="95"/>
    </row>
    <row r="15" spans="1:15" ht="17.25" customHeight="1" thickBot="1"/>
    <row r="16" spans="1:15" ht="17.25" customHeight="1">
      <c r="C16" s="1637" t="s">
        <v>90</v>
      </c>
      <c r="D16" s="1638"/>
      <c r="E16" s="1638"/>
      <c r="F16" s="1638"/>
      <c r="G16" s="1638"/>
      <c r="H16" s="1638"/>
      <c r="I16" s="1639"/>
    </row>
    <row r="17" spans="1:9" ht="17.25" customHeight="1">
      <c r="C17" s="1621" t="s">
        <v>96</v>
      </c>
      <c r="D17" s="1622"/>
      <c r="E17" s="1623"/>
      <c r="F17" s="1188"/>
      <c r="G17" s="1188"/>
      <c r="H17" s="1188"/>
      <c r="I17" s="244"/>
    </row>
    <row r="18" spans="1:9" ht="17.25" customHeight="1">
      <c r="C18" s="254" t="s">
        <v>630</v>
      </c>
      <c r="D18" s="255" t="s">
        <v>631</v>
      </c>
      <c r="E18" s="256" t="s">
        <v>632</v>
      </c>
      <c r="F18" s="614"/>
      <c r="G18" s="255"/>
      <c r="H18" s="257"/>
      <c r="I18" s="258" t="s">
        <v>633</v>
      </c>
    </row>
    <row r="19" spans="1:9" ht="17.25" customHeight="1">
      <c r="A19" s="31">
        <f>IF($D$9&lt;A18+1,"",A18+1)</f>
        <v>1</v>
      </c>
      <c r="B19" t="e">
        <f t="shared" ref="B19:B53" si="0">IF(A19="","",IF($D$9-A19&gt;=0,A19,""))</f>
        <v>#VALUE!</v>
      </c>
      <c r="C19" s="32" t="str">
        <f>IF(E12="","",IF(B19="","",ROUNDDOWN(-CUMIPMT($F$9/12,($D$9-B19+1)*12,E12*10000,1,12,0),0)))</f>
        <v/>
      </c>
      <c r="D19" s="33" t="str">
        <f>IF($E$12="","",IF(B19="","",ROUNDUP(-CUMPRINC($F$9/12,($D$9-B19+1)*12,E12*10000,1,12,0),0)))</f>
        <v/>
      </c>
      <c r="E19" s="34" t="str">
        <f>IF($E$12="","",IF(B19="","",IF(E12*10000-D19&lt;0,0,E12*10000-D19)))</f>
        <v/>
      </c>
      <c r="F19" s="35"/>
      <c r="G19" s="33"/>
      <c r="H19" s="36"/>
      <c r="I19" s="37" t="str">
        <f>IF(E19="","",E19+IF(H19="",0,H19))</f>
        <v/>
      </c>
    </row>
    <row r="20" spans="1:9" ht="17.25" customHeight="1">
      <c r="A20" s="31">
        <f t="shared" ref="A20:A53" si="1">IF(A19="","",IF($D$9&lt;A19+1,"",A19+1))</f>
        <v>2</v>
      </c>
      <c r="B20" t="e">
        <f t="shared" si="0"/>
        <v>#VALUE!</v>
      </c>
      <c r="C20" s="32" t="str">
        <f t="shared" ref="C20:C53" si="2">IF($E$12="","",IF(B20="","",ROUNDDOWN(-CUMIPMT($F$9/12,($D$9-B20+1)*12,E19,1,12,0),0)))</f>
        <v/>
      </c>
      <c r="D20" s="33" t="str">
        <f t="shared" ref="D20:D53" si="3">IF($E$12="","",IF(B20="","",ROUNDUP(-CUMPRINC($F$9/12,($D$9-B20+1)*12,E19,1,12,0),0)))</f>
        <v/>
      </c>
      <c r="E20" s="34" t="str">
        <f t="shared" ref="E20:E53" si="4">IF($E$12="","",IF(B20="","",IF(E19-D20&lt;0,0,E19-D20)))</f>
        <v/>
      </c>
      <c r="F20" s="35"/>
      <c r="G20" s="33"/>
      <c r="H20" s="36"/>
      <c r="I20" s="37" t="str">
        <f t="shared" ref="I20:I53" si="5">IF(E20="","",E20+IF(H20="",0,H20))</f>
        <v/>
      </c>
    </row>
    <row r="21" spans="1:9" ht="17.25" customHeight="1">
      <c r="A21" s="31">
        <f t="shared" si="1"/>
        <v>3</v>
      </c>
      <c r="B21" t="e">
        <f t="shared" si="0"/>
        <v>#VALUE!</v>
      </c>
      <c r="C21" s="32" t="str">
        <f t="shared" si="2"/>
        <v/>
      </c>
      <c r="D21" s="33" t="str">
        <f t="shared" si="3"/>
        <v/>
      </c>
      <c r="E21" s="34" t="str">
        <f t="shared" si="4"/>
        <v/>
      </c>
      <c r="F21" s="35"/>
      <c r="G21" s="33"/>
      <c r="H21" s="36"/>
      <c r="I21" s="37" t="str">
        <f t="shared" si="5"/>
        <v/>
      </c>
    </row>
    <row r="22" spans="1:9" ht="17.25" customHeight="1">
      <c r="A22" s="31">
        <f t="shared" si="1"/>
        <v>4</v>
      </c>
      <c r="B22" t="e">
        <f t="shared" si="0"/>
        <v>#VALUE!</v>
      </c>
      <c r="C22" s="32" t="str">
        <f t="shared" si="2"/>
        <v/>
      </c>
      <c r="D22" s="33" t="str">
        <f t="shared" si="3"/>
        <v/>
      </c>
      <c r="E22" s="34" t="str">
        <f t="shared" si="4"/>
        <v/>
      </c>
      <c r="F22" s="35"/>
      <c r="G22" s="33"/>
      <c r="H22" s="36"/>
      <c r="I22" s="37" t="str">
        <f t="shared" si="5"/>
        <v/>
      </c>
    </row>
    <row r="23" spans="1:9" ht="17.25" customHeight="1">
      <c r="A23" s="31">
        <f t="shared" si="1"/>
        <v>5</v>
      </c>
      <c r="B23" t="e">
        <f t="shared" si="0"/>
        <v>#VALUE!</v>
      </c>
      <c r="C23" s="39" t="str">
        <f t="shared" si="2"/>
        <v/>
      </c>
      <c r="D23" s="40" t="str">
        <f t="shared" si="3"/>
        <v/>
      </c>
      <c r="E23" s="41" t="str">
        <f t="shared" si="4"/>
        <v/>
      </c>
      <c r="F23" s="291"/>
      <c r="G23" s="40"/>
      <c r="H23" s="42"/>
      <c r="I23" s="603" t="str">
        <f t="shared" si="5"/>
        <v/>
      </c>
    </row>
    <row r="24" spans="1:9" ht="17.25" customHeight="1">
      <c r="A24" s="31">
        <f t="shared" si="1"/>
        <v>6</v>
      </c>
      <c r="B24" t="e">
        <f t="shared" si="0"/>
        <v>#VALUE!</v>
      </c>
      <c r="C24" s="32" t="str">
        <f t="shared" si="2"/>
        <v/>
      </c>
      <c r="D24" s="33" t="str">
        <f t="shared" si="3"/>
        <v/>
      </c>
      <c r="E24" s="34" t="str">
        <f t="shared" si="4"/>
        <v/>
      </c>
      <c r="F24" s="35"/>
      <c r="G24" s="33"/>
      <c r="H24" s="36"/>
      <c r="I24" s="43" t="str">
        <f t="shared" si="5"/>
        <v/>
      </c>
    </row>
    <row r="25" spans="1:9" ht="17.25" customHeight="1">
      <c r="A25" s="31">
        <f t="shared" si="1"/>
        <v>7</v>
      </c>
      <c r="B25" t="e">
        <f t="shared" si="0"/>
        <v>#VALUE!</v>
      </c>
      <c r="C25" s="32" t="str">
        <f t="shared" si="2"/>
        <v/>
      </c>
      <c r="D25" s="33" t="str">
        <f t="shared" si="3"/>
        <v/>
      </c>
      <c r="E25" s="34" t="str">
        <f t="shared" si="4"/>
        <v/>
      </c>
      <c r="F25" s="35"/>
      <c r="G25" s="33"/>
      <c r="H25" s="36"/>
      <c r="I25" s="37" t="str">
        <f t="shared" si="5"/>
        <v/>
      </c>
    </row>
    <row r="26" spans="1:9" ht="17.25" customHeight="1">
      <c r="A26" s="31">
        <f t="shared" si="1"/>
        <v>8</v>
      </c>
      <c r="B26" t="e">
        <f t="shared" si="0"/>
        <v>#VALUE!</v>
      </c>
      <c r="C26" s="32" t="str">
        <f t="shared" si="2"/>
        <v/>
      </c>
      <c r="D26" s="33" t="str">
        <f t="shared" si="3"/>
        <v/>
      </c>
      <c r="E26" s="34" t="str">
        <f t="shared" si="4"/>
        <v/>
      </c>
      <c r="F26" s="35"/>
      <c r="G26" s="33"/>
      <c r="H26" s="36"/>
      <c r="I26" s="37" t="str">
        <f t="shared" si="5"/>
        <v/>
      </c>
    </row>
    <row r="27" spans="1:9" ht="17.25" customHeight="1">
      <c r="A27" s="31">
        <f t="shared" si="1"/>
        <v>9</v>
      </c>
      <c r="B27" t="e">
        <f t="shared" si="0"/>
        <v>#VALUE!</v>
      </c>
      <c r="C27" s="32" t="str">
        <f t="shared" si="2"/>
        <v/>
      </c>
      <c r="D27" s="33" t="str">
        <f t="shared" si="3"/>
        <v/>
      </c>
      <c r="E27" s="34" t="str">
        <f t="shared" si="4"/>
        <v/>
      </c>
      <c r="F27" s="35"/>
      <c r="G27" s="33"/>
      <c r="H27" s="36"/>
      <c r="I27" s="37" t="str">
        <f t="shared" si="5"/>
        <v/>
      </c>
    </row>
    <row r="28" spans="1:9" ht="17.25" customHeight="1">
      <c r="A28" s="31">
        <f t="shared" si="1"/>
        <v>10</v>
      </c>
      <c r="B28" t="e">
        <f t="shared" si="0"/>
        <v>#VALUE!</v>
      </c>
      <c r="C28" s="39" t="str">
        <f t="shared" si="2"/>
        <v/>
      </c>
      <c r="D28" s="40" t="str">
        <f t="shared" si="3"/>
        <v/>
      </c>
      <c r="E28" s="41" t="str">
        <f t="shared" si="4"/>
        <v/>
      </c>
      <c r="F28" s="291"/>
      <c r="G28" s="40"/>
      <c r="H28" s="42"/>
      <c r="I28" s="603" t="str">
        <f t="shared" si="5"/>
        <v/>
      </c>
    </row>
    <row r="29" spans="1:9" ht="17.25" customHeight="1">
      <c r="A29" s="31">
        <f t="shared" si="1"/>
        <v>11</v>
      </c>
      <c r="B29" t="e">
        <f t="shared" si="0"/>
        <v>#VALUE!</v>
      </c>
      <c r="C29" s="32" t="str">
        <f t="shared" si="2"/>
        <v/>
      </c>
      <c r="D29" s="33" t="str">
        <f t="shared" si="3"/>
        <v/>
      </c>
      <c r="E29" s="34" t="str">
        <f t="shared" si="4"/>
        <v/>
      </c>
      <c r="F29" s="35"/>
      <c r="G29" s="33"/>
      <c r="H29" s="36"/>
      <c r="I29" s="43" t="str">
        <f t="shared" si="5"/>
        <v/>
      </c>
    </row>
    <row r="30" spans="1:9" ht="17.25" customHeight="1">
      <c r="A30" s="31">
        <f t="shared" si="1"/>
        <v>12</v>
      </c>
      <c r="B30" t="e">
        <f t="shared" si="0"/>
        <v>#VALUE!</v>
      </c>
      <c r="C30" s="32" t="str">
        <f t="shared" si="2"/>
        <v/>
      </c>
      <c r="D30" s="33" t="str">
        <f t="shared" si="3"/>
        <v/>
      </c>
      <c r="E30" s="34" t="str">
        <f t="shared" si="4"/>
        <v/>
      </c>
      <c r="F30" s="35"/>
      <c r="G30" s="33"/>
      <c r="H30" s="36"/>
      <c r="I30" s="37" t="str">
        <f t="shared" si="5"/>
        <v/>
      </c>
    </row>
    <row r="31" spans="1:9" ht="17.25" customHeight="1">
      <c r="A31" s="31">
        <f t="shared" si="1"/>
        <v>13</v>
      </c>
      <c r="B31" t="e">
        <f t="shared" si="0"/>
        <v>#VALUE!</v>
      </c>
      <c r="C31" s="32" t="str">
        <f t="shared" si="2"/>
        <v/>
      </c>
      <c r="D31" s="33" t="str">
        <f t="shared" si="3"/>
        <v/>
      </c>
      <c r="E31" s="34" t="str">
        <f t="shared" si="4"/>
        <v/>
      </c>
      <c r="F31" s="35"/>
      <c r="G31" s="33"/>
      <c r="H31" s="36"/>
      <c r="I31" s="37" t="str">
        <f t="shared" si="5"/>
        <v/>
      </c>
    </row>
    <row r="32" spans="1:9" ht="17.25" customHeight="1">
      <c r="A32" s="31">
        <f t="shared" si="1"/>
        <v>14</v>
      </c>
      <c r="B32" t="e">
        <f t="shared" si="0"/>
        <v>#VALUE!</v>
      </c>
      <c r="C32" s="32" t="str">
        <f t="shared" si="2"/>
        <v/>
      </c>
      <c r="D32" s="33" t="str">
        <f t="shared" si="3"/>
        <v/>
      </c>
      <c r="E32" s="34" t="str">
        <f t="shared" si="4"/>
        <v/>
      </c>
      <c r="F32" s="35"/>
      <c r="G32" s="33"/>
      <c r="H32" s="36"/>
      <c r="I32" s="37" t="str">
        <f t="shared" si="5"/>
        <v/>
      </c>
    </row>
    <row r="33" spans="1:9" ht="17.25" customHeight="1">
      <c r="A33" s="31">
        <f t="shared" si="1"/>
        <v>15</v>
      </c>
      <c r="B33" t="e">
        <f t="shared" si="0"/>
        <v>#VALUE!</v>
      </c>
      <c r="C33" s="39" t="str">
        <f t="shared" si="2"/>
        <v/>
      </c>
      <c r="D33" s="40" t="str">
        <f t="shared" si="3"/>
        <v/>
      </c>
      <c r="E33" s="41" t="str">
        <f t="shared" si="4"/>
        <v/>
      </c>
      <c r="F33" s="291"/>
      <c r="G33" s="40"/>
      <c r="H33" s="42"/>
      <c r="I33" s="603" t="str">
        <f t="shared" si="5"/>
        <v/>
      </c>
    </row>
    <row r="34" spans="1:9" ht="17.25" customHeight="1">
      <c r="A34" s="31">
        <f t="shared" si="1"/>
        <v>16</v>
      </c>
      <c r="B34" t="e">
        <f t="shared" si="0"/>
        <v>#VALUE!</v>
      </c>
      <c r="C34" s="32" t="str">
        <f t="shared" si="2"/>
        <v/>
      </c>
      <c r="D34" s="33" t="str">
        <f t="shared" si="3"/>
        <v/>
      </c>
      <c r="E34" s="34" t="str">
        <f t="shared" si="4"/>
        <v/>
      </c>
      <c r="F34" s="35"/>
      <c r="G34" s="33"/>
      <c r="H34" s="36"/>
      <c r="I34" s="43" t="str">
        <f t="shared" si="5"/>
        <v/>
      </c>
    </row>
    <row r="35" spans="1:9" ht="17.25" customHeight="1">
      <c r="A35" s="31">
        <f t="shared" si="1"/>
        <v>17</v>
      </c>
      <c r="B35" t="e">
        <f t="shared" si="0"/>
        <v>#VALUE!</v>
      </c>
      <c r="C35" s="32" t="str">
        <f t="shared" si="2"/>
        <v/>
      </c>
      <c r="D35" s="33" t="str">
        <f t="shared" si="3"/>
        <v/>
      </c>
      <c r="E35" s="34" t="str">
        <f t="shared" si="4"/>
        <v/>
      </c>
      <c r="F35" s="35"/>
      <c r="G35" s="33"/>
      <c r="H35" s="36"/>
      <c r="I35" s="37" t="str">
        <f t="shared" si="5"/>
        <v/>
      </c>
    </row>
    <row r="36" spans="1:9" ht="17.25" customHeight="1">
      <c r="A36" s="31">
        <f t="shared" si="1"/>
        <v>18</v>
      </c>
      <c r="B36" t="e">
        <f t="shared" si="0"/>
        <v>#VALUE!</v>
      </c>
      <c r="C36" s="32" t="str">
        <f t="shared" si="2"/>
        <v/>
      </c>
      <c r="D36" s="33" t="str">
        <f t="shared" si="3"/>
        <v/>
      </c>
      <c r="E36" s="34" t="str">
        <f t="shared" si="4"/>
        <v/>
      </c>
      <c r="F36" s="35"/>
      <c r="G36" s="33"/>
      <c r="H36" s="36"/>
      <c r="I36" s="37" t="str">
        <f t="shared" si="5"/>
        <v/>
      </c>
    </row>
    <row r="37" spans="1:9" ht="17.25" customHeight="1">
      <c r="A37" s="31">
        <f t="shared" si="1"/>
        <v>19</v>
      </c>
      <c r="B37" t="e">
        <f t="shared" si="0"/>
        <v>#VALUE!</v>
      </c>
      <c r="C37" s="32" t="str">
        <f t="shared" si="2"/>
        <v/>
      </c>
      <c r="D37" s="33" t="str">
        <f t="shared" si="3"/>
        <v/>
      </c>
      <c r="E37" s="34" t="str">
        <f t="shared" si="4"/>
        <v/>
      </c>
      <c r="F37" s="35"/>
      <c r="G37" s="33"/>
      <c r="H37" s="36"/>
      <c r="I37" s="37" t="str">
        <f t="shared" si="5"/>
        <v/>
      </c>
    </row>
    <row r="38" spans="1:9" ht="17.25" customHeight="1">
      <c r="A38" s="31">
        <f t="shared" si="1"/>
        <v>20</v>
      </c>
      <c r="B38" t="e">
        <f t="shared" si="0"/>
        <v>#VALUE!</v>
      </c>
      <c r="C38" s="39" t="str">
        <f t="shared" si="2"/>
        <v/>
      </c>
      <c r="D38" s="40" t="str">
        <f t="shared" si="3"/>
        <v/>
      </c>
      <c r="E38" s="41" t="str">
        <f t="shared" si="4"/>
        <v/>
      </c>
      <c r="F38" s="291"/>
      <c r="G38" s="40"/>
      <c r="H38" s="42"/>
      <c r="I38" s="603" t="str">
        <f t="shared" si="5"/>
        <v/>
      </c>
    </row>
    <row r="39" spans="1:9" ht="17.25" customHeight="1">
      <c r="A39" s="31">
        <f t="shared" si="1"/>
        <v>21</v>
      </c>
      <c r="B39" t="e">
        <f t="shared" si="0"/>
        <v>#VALUE!</v>
      </c>
      <c r="C39" s="32" t="str">
        <f t="shared" si="2"/>
        <v/>
      </c>
      <c r="D39" s="33" t="str">
        <f t="shared" si="3"/>
        <v/>
      </c>
      <c r="E39" s="34" t="str">
        <f t="shared" si="4"/>
        <v/>
      </c>
      <c r="F39" s="35"/>
      <c r="G39" s="33"/>
      <c r="H39" s="36"/>
      <c r="I39" s="43" t="str">
        <f t="shared" si="5"/>
        <v/>
      </c>
    </row>
    <row r="40" spans="1:9" ht="17.25" customHeight="1">
      <c r="A40" s="31">
        <f t="shared" si="1"/>
        <v>22</v>
      </c>
      <c r="B40" t="e">
        <f t="shared" si="0"/>
        <v>#VALUE!</v>
      </c>
      <c r="C40" s="32" t="str">
        <f t="shared" si="2"/>
        <v/>
      </c>
      <c r="D40" s="33" t="str">
        <f t="shared" si="3"/>
        <v/>
      </c>
      <c r="E40" s="34" t="str">
        <f t="shared" si="4"/>
        <v/>
      </c>
      <c r="F40" s="35"/>
      <c r="G40" s="33"/>
      <c r="H40" s="36"/>
      <c r="I40" s="37" t="str">
        <f t="shared" si="5"/>
        <v/>
      </c>
    </row>
    <row r="41" spans="1:9" ht="17.25" customHeight="1">
      <c r="A41" s="31">
        <f t="shared" si="1"/>
        <v>23</v>
      </c>
      <c r="B41" t="e">
        <f t="shared" si="0"/>
        <v>#VALUE!</v>
      </c>
      <c r="C41" s="32" t="str">
        <f t="shared" si="2"/>
        <v/>
      </c>
      <c r="D41" s="33" t="str">
        <f t="shared" si="3"/>
        <v/>
      </c>
      <c r="E41" s="34" t="str">
        <f t="shared" si="4"/>
        <v/>
      </c>
      <c r="F41" s="35"/>
      <c r="G41" s="33"/>
      <c r="H41" s="36"/>
      <c r="I41" s="37" t="str">
        <f t="shared" si="5"/>
        <v/>
      </c>
    </row>
    <row r="42" spans="1:9" ht="17.25" customHeight="1">
      <c r="A42" s="31">
        <f t="shared" si="1"/>
        <v>24</v>
      </c>
      <c r="B42" t="e">
        <f t="shared" si="0"/>
        <v>#VALUE!</v>
      </c>
      <c r="C42" s="32" t="str">
        <f t="shared" si="2"/>
        <v/>
      </c>
      <c r="D42" s="33" t="str">
        <f t="shared" si="3"/>
        <v/>
      </c>
      <c r="E42" s="34" t="str">
        <f t="shared" si="4"/>
        <v/>
      </c>
      <c r="F42" s="35"/>
      <c r="G42" s="33"/>
      <c r="H42" s="36"/>
      <c r="I42" s="37" t="str">
        <f t="shared" si="5"/>
        <v/>
      </c>
    </row>
    <row r="43" spans="1:9" ht="17.25" customHeight="1">
      <c r="A43" s="31">
        <f t="shared" si="1"/>
        <v>25</v>
      </c>
      <c r="B43" t="e">
        <f t="shared" si="0"/>
        <v>#VALUE!</v>
      </c>
      <c r="C43" s="39" t="str">
        <f t="shared" si="2"/>
        <v/>
      </c>
      <c r="D43" s="40" t="str">
        <f t="shared" si="3"/>
        <v/>
      </c>
      <c r="E43" s="41" t="str">
        <f t="shared" si="4"/>
        <v/>
      </c>
      <c r="F43" s="291"/>
      <c r="G43" s="40"/>
      <c r="H43" s="42"/>
      <c r="I43" s="603" t="str">
        <f t="shared" si="5"/>
        <v/>
      </c>
    </row>
    <row r="44" spans="1:9" ht="17.25" customHeight="1">
      <c r="A44" s="31">
        <f t="shared" si="1"/>
        <v>26</v>
      </c>
      <c r="B44" t="e">
        <f t="shared" si="0"/>
        <v>#VALUE!</v>
      </c>
      <c r="C44" s="32" t="str">
        <f t="shared" si="2"/>
        <v/>
      </c>
      <c r="D44" s="33" t="str">
        <f t="shared" si="3"/>
        <v/>
      </c>
      <c r="E44" s="34" t="str">
        <f t="shared" si="4"/>
        <v/>
      </c>
      <c r="F44" s="35"/>
      <c r="G44" s="33"/>
      <c r="H44" s="36"/>
      <c r="I44" s="43" t="str">
        <f t="shared" si="5"/>
        <v/>
      </c>
    </row>
    <row r="45" spans="1:9" ht="17.25" customHeight="1">
      <c r="A45" s="31">
        <f t="shared" si="1"/>
        <v>27</v>
      </c>
      <c r="B45" t="e">
        <f t="shared" si="0"/>
        <v>#VALUE!</v>
      </c>
      <c r="C45" s="32" t="str">
        <f t="shared" si="2"/>
        <v/>
      </c>
      <c r="D45" s="33" t="str">
        <f t="shared" si="3"/>
        <v/>
      </c>
      <c r="E45" s="34" t="str">
        <f t="shared" si="4"/>
        <v/>
      </c>
      <c r="F45" s="35"/>
      <c r="G45" s="33"/>
      <c r="H45" s="36"/>
      <c r="I45" s="37" t="str">
        <f t="shared" si="5"/>
        <v/>
      </c>
    </row>
    <row r="46" spans="1:9" ht="17.25" customHeight="1">
      <c r="A46" s="31">
        <f t="shared" si="1"/>
        <v>28</v>
      </c>
      <c r="B46" t="e">
        <f t="shared" si="0"/>
        <v>#VALUE!</v>
      </c>
      <c r="C46" s="32" t="str">
        <f t="shared" si="2"/>
        <v/>
      </c>
      <c r="D46" s="33" t="str">
        <f t="shared" si="3"/>
        <v/>
      </c>
      <c r="E46" s="34" t="str">
        <f t="shared" si="4"/>
        <v/>
      </c>
      <c r="F46" s="35"/>
      <c r="G46" s="33"/>
      <c r="H46" s="36"/>
      <c r="I46" s="37" t="str">
        <f t="shared" si="5"/>
        <v/>
      </c>
    </row>
    <row r="47" spans="1:9" ht="17.25" customHeight="1">
      <c r="A47" s="31">
        <f t="shared" si="1"/>
        <v>29</v>
      </c>
      <c r="B47" t="e">
        <f t="shared" si="0"/>
        <v>#VALUE!</v>
      </c>
      <c r="C47" s="32" t="str">
        <f t="shared" si="2"/>
        <v/>
      </c>
      <c r="D47" s="33" t="str">
        <f t="shared" si="3"/>
        <v/>
      </c>
      <c r="E47" s="34" t="str">
        <f t="shared" si="4"/>
        <v/>
      </c>
      <c r="F47" s="35"/>
      <c r="G47" s="33"/>
      <c r="H47" s="36"/>
      <c r="I47" s="37" t="str">
        <f t="shared" si="5"/>
        <v/>
      </c>
    </row>
    <row r="48" spans="1:9" ht="17.25" customHeight="1">
      <c r="A48" s="31">
        <f t="shared" si="1"/>
        <v>30</v>
      </c>
      <c r="B48" t="e">
        <f t="shared" si="0"/>
        <v>#VALUE!</v>
      </c>
      <c r="C48" s="39" t="str">
        <f t="shared" si="2"/>
        <v/>
      </c>
      <c r="D48" s="40" t="str">
        <f t="shared" si="3"/>
        <v/>
      </c>
      <c r="E48" s="41" t="str">
        <f t="shared" si="4"/>
        <v/>
      </c>
      <c r="F48" s="291"/>
      <c r="G48" s="40"/>
      <c r="H48" s="42"/>
      <c r="I48" s="603" t="str">
        <f t="shared" si="5"/>
        <v/>
      </c>
    </row>
    <row r="49" spans="1:9" ht="17.25" customHeight="1">
      <c r="A49" s="31">
        <f t="shared" si="1"/>
        <v>31</v>
      </c>
      <c r="B49" t="e">
        <f t="shared" si="0"/>
        <v>#VALUE!</v>
      </c>
      <c r="C49" s="236" t="str">
        <f t="shared" si="2"/>
        <v/>
      </c>
      <c r="D49" s="45" t="str">
        <f t="shared" si="3"/>
        <v/>
      </c>
      <c r="E49" s="46" t="str">
        <f t="shared" si="4"/>
        <v/>
      </c>
      <c r="F49" s="44"/>
      <c r="G49" s="45"/>
      <c r="H49" s="47"/>
      <c r="I49" s="43" t="str">
        <f t="shared" si="5"/>
        <v/>
      </c>
    </row>
    <row r="50" spans="1:9" ht="17.25" customHeight="1">
      <c r="A50" s="31">
        <f t="shared" si="1"/>
        <v>32</v>
      </c>
      <c r="B50" t="e">
        <f t="shared" si="0"/>
        <v>#VALUE!</v>
      </c>
      <c r="C50" s="32" t="str">
        <f t="shared" si="2"/>
        <v/>
      </c>
      <c r="D50" s="33" t="str">
        <f t="shared" si="3"/>
        <v/>
      </c>
      <c r="E50" s="34" t="str">
        <f t="shared" si="4"/>
        <v/>
      </c>
      <c r="F50" s="35"/>
      <c r="G50" s="33"/>
      <c r="H50" s="36"/>
      <c r="I50" s="37" t="str">
        <f t="shared" si="5"/>
        <v/>
      </c>
    </row>
    <row r="51" spans="1:9" ht="17.25" customHeight="1">
      <c r="A51" s="31">
        <f t="shared" si="1"/>
        <v>33</v>
      </c>
      <c r="B51" t="e">
        <f t="shared" si="0"/>
        <v>#VALUE!</v>
      </c>
      <c r="C51" s="32" t="str">
        <f t="shared" si="2"/>
        <v/>
      </c>
      <c r="D51" s="33" t="str">
        <f t="shared" si="3"/>
        <v/>
      </c>
      <c r="E51" s="34" t="str">
        <f t="shared" si="4"/>
        <v/>
      </c>
      <c r="F51" s="35"/>
      <c r="G51" s="33"/>
      <c r="H51" s="36"/>
      <c r="I51" s="37" t="str">
        <f t="shared" si="5"/>
        <v/>
      </c>
    </row>
    <row r="52" spans="1:9" ht="17.25" customHeight="1">
      <c r="A52" s="31">
        <f t="shared" si="1"/>
        <v>34</v>
      </c>
      <c r="B52" t="e">
        <f t="shared" si="0"/>
        <v>#VALUE!</v>
      </c>
      <c r="C52" s="32" t="str">
        <f t="shared" si="2"/>
        <v/>
      </c>
      <c r="D52" s="33" t="str">
        <f t="shared" si="3"/>
        <v/>
      </c>
      <c r="E52" s="34" t="str">
        <f t="shared" si="4"/>
        <v/>
      </c>
      <c r="F52" s="35"/>
      <c r="G52" s="33"/>
      <c r="H52" s="36"/>
      <c r="I52" s="37" t="str">
        <f t="shared" si="5"/>
        <v/>
      </c>
    </row>
    <row r="53" spans="1:9" ht="17.25" customHeight="1" thickBot="1">
      <c r="A53" s="31">
        <f t="shared" si="1"/>
        <v>35</v>
      </c>
      <c r="B53" t="e">
        <f t="shared" si="0"/>
        <v>#VALUE!</v>
      </c>
      <c r="C53" s="107" t="str">
        <f t="shared" si="2"/>
        <v/>
      </c>
      <c r="D53" s="49" t="str">
        <f t="shared" si="3"/>
        <v/>
      </c>
      <c r="E53" s="50" t="str">
        <f t="shared" si="4"/>
        <v/>
      </c>
      <c r="F53" s="48"/>
      <c r="G53" s="49"/>
      <c r="H53" s="51"/>
      <c r="I53" s="52" t="str">
        <f t="shared" si="5"/>
        <v/>
      </c>
    </row>
  </sheetData>
  <sheetProtection algorithmName="SHA-512" hashValue="L+1ag9jxrK4xZhGtjbGgYa2Xu9R4KURDlKHAcTcw2L+ls1V89VkXu3nlK/oCL0m7gfrb6s3cLer4qY6LJHxgXw==" saltValue="QW1gUNwABNL6JJqXcjqfaA==" spinCount="100000" sheet="1" selectLockedCells="1"/>
  <mergeCells count="18">
    <mergeCell ref="C17:E17"/>
    <mergeCell ref="F17:H17"/>
    <mergeCell ref="A5:C5"/>
    <mergeCell ref="E5:F5"/>
    <mergeCell ref="F8:H8"/>
    <mergeCell ref="D9:D10"/>
    <mergeCell ref="F9:H10"/>
    <mergeCell ref="F11:H11"/>
    <mergeCell ref="C12:D12"/>
    <mergeCell ref="F12:H12"/>
    <mergeCell ref="C16:I16"/>
    <mergeCell ref="I7:I13"/>
    <mergeCell ref="D2:E2"/>
    <mergeCell ref="F2:G2"/>
    <mergeCell ref="H2:I2"/>
    <mergeCell ref="D3:E3"/>
    <mergeCell ref="F3:G3"/>
    <mergeCell ref="H3:I3"/>
  </mergeCells>
  <phoneticPr fontId="8"/>
  <conditionalFormatting sqref="D2:E2">
    <cfRule type="cellIs" dxfId="14" priority="5" operator="notEqual">
      <formula>0</formula>
    </cfRule>
  </conditionalFormatting>
  <conditionalFormatting sqref="D3:E3">
    <cfRule type="cellIs" dxfId="13" priority="4" operator="notEqual">
      <formula>0</formula>
    </cfRule>
  </conditionalFormatting>
  <conditionalFormatting sqref="F2:G2">
    <cfRule type="cellIs" dxfId="12" priority="3" operator="notEqual">
      <formula>0</formula>
    </cfRule>
  </conditionalFormatting>
  <conditionalFormatting sqref="F3:G3">
    <cfRule type="cellIs" dxfId="11" priority="2" operator="notEqual">
      <formula>0</formula>
    </cfRule>
  </conditionalFormatting>
  <conditionalFormatting sqref="H2:I2">
    <cfRule type="cellIs" dxfId="10" priority="1" operator="notEqual">
      <formula>0</formula>
    </cfRule>
  </conditionalFormatting>
  <hyperlinks>
    <hyperlink ref="D2:E2" location="フラット３５元利均等償還表!A1" display="フラット３５元利均等償還表!A1" xr:uid="{00000000-0004-0000-0900-000000000000}"/>
    <hyperlink ref="D3:E3" location="フラット３５元金均等償還表!A1" display="フラット３５元金均等償還表!A1" xr:uid="{00000000-0004-0000-0900-000001000000}"/>
    <hyperlink ref="F2:G2" location="ベストミックス償還表!A1" display="ベストミックス償還表!A1" xr:uid="{00000000-0004-0000-0900-000002000000}"/>
    <hyperlink ref="F3:G3" location="アプラス償還表!A1" display="アプラス償還表!A1" xr:uid="{00000000-0004-0000-0900-000003000000}"/>
    <hyperlink ref="H2:I2" location="アプラスワイド償還表!A1" display="アプラスワイド償還表!A1" xr:uid="{00000000-0004-0000-0900-000004000000}"/>
  </hyperlink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CCFF"/>
  </sheetPr>
  <dimension ref="A1:O53"/>
  <sheetViews>
    <sheetView topLeftCell="A6" zoomScale="90" zoomScaleNormal="90" workbookViewId="0">
      <selection activeCell="D2" sqref="D2:E2"/>
    </sheetView>
  </sheetViews>
  <sheetFormatPr defaultRowHeight="17.25" customHeight="1"/>
  <cols>
    <col min="1" max="1" width="12.125" customWidth="1"/>
    <col min="2" max="2" width="12.125" hidden="1" customWidth="1"/>
    <col min="3" max="9" width="12.125" customWidth="1"/>
    <col min="10" max="16" width="13.125" customWidth="1"/>
  </cols>
  <sheetData>
    <row r="1" spans="1:15" ht="17.25" customHeight="1">
      <c r="C1" t="s">
        <v>619</v>
      </c>
    </row>
    <row r="2" spans="1:15" ht="17.25" customHeight="1">
      <c r="D2" s="1591" t="str">
        <f>IF(計算シート!H18=1,"フラット３５元利均等",0)</f>
        <v>フラット３５元利均等</v>
      </c>
      <c r="E2" s="1591"/>
      <c r="F2" s="1591">
        <f>IF(資金計画!K24&gt;0,"ベストミックス",0)</f>
        <v>0</v>
      </c>
      <c r="G2" s="1591"/>
      <c r="H2" s="1591">
        <f>IF(資金計画!K29&gt;0,"アプラスワイド",0)</f>
        <v>0</v>
      </c>
      <c r="I2" s="1591"/>
    </row>
    <row r="3" spans="1:15" ht="17.25" customHeight="1">
      <c r="D3" s="1591">
        <f>IF(計算シート!H18=1,0,"フラット３5元金均等")</f>
        <v>0</v>
      </c>
      <c r="E3" s="1591"/>
      <c r="F3" s="1591">
        <f>IF(資金計画!K28&gt;0,"アプラス",0)</f>
        <v>0</v>
      </c>
      <c r="G3" s="1591"/>
      <c r="H3" s="1592" t="s">
        <v>620</v>
      </c>
      <c r="I3" s="1593"/>
    </row>
    <row r="5" spans="1:15" ht="26.25" customHeight="1">
      <c r="A5" s="1604" t="str">
        <f>IF(印刷ページ!A2="","",印刷ページ!A2)</f>
        <v/>
      </c>
      <c r="B5" s="1604"/>
      <c r="C5" s="1604"/>
      <c r="D5" s="225" t="s">
        <v>7</v>
      </c>
      <c r="E5" s="1604" t="str">
        <f>IF(印刷ページ!F2="","",印刷ページ!F2)</f>
        <v/>
      </c>
      <c r="F5" s="1604"/>
      <c r="G5" s="225" t="s">
        <v>7</v>
      </c>
      <c r="H5" s="225" t="s">
        <v>621</v>
      </c>
      <c r="I5" s="95" t="str">
        <f>IF(F3=0,"",IF(F2=0,2,3)&amp;"/"&amp;5-COUNT(D2:I3))</f>
        <v/>
      </c>
    </row>
    <row r="6" spans="1:15" ht="17.25" customHeight="1">
      <c r="F6" s="104"/>
    </row>
    <row r="7" spans="1:15" ht="17.25" customHeight="1">
      <c r="D7" s="225"/>
      <c r="I7" s="1640" t="str">
        <f>IF(F3=0,"対象外です","")</f>
        <v>対象外です</v>
      </c>
    </row>
    <row r="8" spans="1:15" ht="17.25" customHeight="1">
      <c r="D8" s="593" t="s">
        <v>622</v>
      </c>
      <c r="F8" s="1605" t="s">
        <v>623</v>
      </c>
      <c r="G8" s="1606"/>
      <c r="H8" s="1607"/>
      <c r="I8" s="1601"/>
      <c r="J8" s="9"/>
      <c r="K8" s="9"/>
      <c r="L8" s="9"/>
      <c r="M8" s="9"/>
    </row>
    <row r="9" spans="1:15" ht="17.25" customHeight="1">
      <c r="D9" s="1624" t="str">
        <f>IF(E12="","",計算シート!M77)</f>
        <v/>
      </c>
      <c r="F9" s="1626" t="str">
        <f>IF(E12="","",計算シート!M146)</f>
        <v/>
      </c>
      <c r="G9" s="1627"/>
      <c r="H9" s="1628"/>
      <c r="I9" s="1601"/>
      <c r="K9" s="233"/>
      <c r="L9" s="233"/>
      <c r="M9" s="233"/>
    </row>
    <row r="10" spans="1:15" ht="17.25" customHeight="1">
      <c r="D10" s="1625"/>
      <c r="F10" s="1629"/>
      <c r="G10" s="1630"/>
      <c r="H10" s="1631"/>
      <c r="I10" s="1601"/>
      <c r="K10" s="233"/>
      <c r="L10" s="233"/>
      <c r="M10" s="233"/>
      <c r="N10" s="95"/>
      <c r="O10" s="95"/>
    </row>
    <row r="11" spans="1:15" ht="17.25" customHeight="1">
      <c r="D11" s="240"/>
      <c r="F11" s="1605" t="s">
        <v>624</v>
      </c>
      <c r="G11" s="1606"/>
      <c r="H11" s="1607"/>
      <c r="I11" s="1601"/>
      <c r="K11" s="233"/>
      <c r="L11" s="233"/>
      <c r="M11" s="233"/>
      <c r="N11" s="95"/>
      <c r="O11" s="95"/>
    </row>
    <row r="12" spans="1:15" ht="17.25" customHeight="1">
      <c r="B12" s="237"/>
      <c r="C12" s="1647" t="s">
        <v>92</v>
      </c>
      <c r="D12" s="1648"/>
      <c r="E12" s="615" t="str">
        <f>IF(計算シート!C142=0,"",計算シート!C142)</f>
        <v/>
      </c>
      <c r="F12" s="1649" t="str">
        <f>IF(E12="","",計算シート!C143)</f>
        <v/>
      </c>
      <c r="G12" s="1650"/>
      <c r="H12" s="1651"/>
      <c r="I12" s="1601"/>
    </row>
    <row r="13" spans="1:15" ht="17.25" customHeight="1">
      <c r="B13" s="616"/>
      <c r="C13" s="1645" t="s">
        <v>626</v>
      </c>
      <c r="D13" s="1646"/>
      <c r="E13" s="484" t="str">
        <f>IF(計算シート!C144=0,"",計算シート!C144)</f>
        <v/>
      </c>
      <c r="F13" s="1652" t="str">
        <f>IF(E13="","",計算シート!C145)</f>
        <v/>
      </c>
      <c r="G13" s="1653"/>
      <c r="H13" s="1654"/>
      <c r="I13" s="1640"/>
      <c r="N13" s="95"/>
      <c r="O13" s="95"/>
    </row>
    <row r="14" spans="1:15" ht="17.25" customHeight="1">
      <c r="B14" s="238"/>
      <c r="E14" s="232"/>
      <c r="F14" s="239"/>
      <c r="G14" s="239"/>
      <c r="H14" s="239"/>
      <c r="I14" s="30"/>
      <c r="N14" s="95"/>
      <c r="O14" s="95"/>
    </row>
    <row r="15" spans="1:15" ht="17.25" customHeight="1" thickBot="1"/>
    <row r="16" spans="1:15" ht="17.25" customHeight="1">
      <c r="C16" s="1655" t="s">
        <v>92</v>
      </c>
      <c r="D16" s="1656"/>
      <c r="E16" s="1656"/>
      <c r="F16" s="1656"/>
      <c r="G16" s="1656"/>
      <c r="H16" s="1656"/>
      <c r="I16" s="1657"/>
    </row>
    <row r="17" spans="1:9" ht="17.25" customHeight="1">
      <c r="C17" s="1641" t="s">
        <v>96</v>
      </c>
      <c r="D17" s="1642"/>
      <c r="E17" s="1643"/>
      <c r="F17" s="1644" t="s">
        <v>628</v>
      </c>
      <c r="G17" s="1644"/>
      <c r="H17" s="1644"/>
      <c r="I17" s="241"/>
    </row>
    <row r="18" spans="1:9" ht="17.25" customHeight="1">
      <c r="B18" t="s">
        <v>636</v>
      </c>
      <c r="C18" s="254" t="s">
        <v>630</v>
      </c>
      <c r="D18" s="255" t="s">
        <v>631</v>
      </c>
      <c r="E18" s="256" t="s">
        <v>632</v>
      </c>
      <c r="F18" s="614" t="s">
        <v>630</v>
      </c>
      <c r="G18" s="255" t="s">
        <v>631</v>
      </c>
      <c r="H18" s="257" t="s">
        <v>632</v>
      </c>
      <c r="I18" s="258" t="s">
        <v>633</v>
      </c>
    </row>
    <row r="19" spans="1:9" ht="17.25" customHeight="1">
      <c r="A19" s="31">
        <f>IF($D$9&lt;A18+1,"",A18+1)</f>
        <v>1</v>
      </c>
      <c r="B19" t="e">
        <f t="shared" ref="B19:B53" si="0">IF(A19="","",IF($D$9-A19&gt;=0,A19,""))</f>
        <v>#VALUE!</v>
      </c>
      <c r="C19" s="32" t="str">
        <f>IF(E12="","",IF(B19="","",ROUNDDOWN(-CUMIPMT($F$9/12,($D$9-B19+1)*12,E12*10000,1,12,0),0)))</f>
        <v/>
      </c>
      <c r="D19" s="33" t="str">
        <f>IF($E$12="","",IF(B19="","",ROUNDUP(-CUMPRINC($F$9/12,($D$9-B19+1)*12,E12*10000,1,12,0),0)))</f>
        <v/>
      </c>
      <c r="E19" s="34" t="str">
        <f>IF($E$12="","",IF(B19="","",IF(E12*10000-D19&lt;0,0,E12*10000-D19)))</f>
        <v/>
      </c>
      <c r="F19" s="35" t="str">
        <f>IF($E$13="","",IF(B19="","",ROUNDDOWN(-CUMIPMT($F$9/2,($D$9-B19+1)*2,$E$13*10000,1,2,0),0)))</f>
        <v/>
      </c>
      <c r="G19" s="33" t="str">
        <f>IF($E$13="","",IF(B19="","",ROUNDUP(-CUMPRINC($F$9/2,($D$9-B19+1)*2,E13*10000,1,2,0),0)))</f>
        <v/>
      </c>
      <c r="H19" s="36" t="str">
        <f>IF($E$13="","",IF(B19="","",IF(E13*10000-G19&lt;0,0,E13*10000-G19)))</f>
        <v/>
      </c>
      <c r="I19" s="37" t="str">
        <f>IF(E19="","",E19+IF(H19="",0,H19))</f>
        <v/>
      </c>
    </row>
    <row r="20" spans="1:9" ht="17.25" customHeight="1">
      <c r="A20" s="31">
        <f t="shared" ref="A20:A53" si="1">IF(A19="","",IF($D$9&lt;A19+1,"",A19+1))</f>
        <v>2</v>
      </c>
      <c r="B20" t="e">
        <f t="shared" si="0"/>
        <v>#VALUE!</v>
      </c>
      <c r="C20" s="32" t="str">
        <f t="shared" ref="C20:C53" si="2">IF($E$12="","",IF(B20="","",ROUNDDOWN(-CUMIPMT($F$9/12,($D$9-B20+1)*12,E19,1,12,0),0)))</f>
        <v/>
      </c>
      <c r="D20" s="33" t="str">
        <f t="shared" ref="D20:D53" si="3">IF($E$12="","",IF(B20="","",ROUNDUP(-CUMPRINC($F$9/12,($D$9-B20+1)*12,E19,1,12,0),0)))</f>
        <v/>
      </c>
      <c r="E20" s="34" t="str">
        <f t="shared" ref="E20:E53" si="4">IF($E$12="","",IF(B20="","",IF(E19-D20&lt;0,0,E19-D20)))</f>
        <v/>
      </c>
      <c r="F20" s="35" t="str">
        <f t="shared" ref="F20:F53" si="5">IF($E$13="","",IF(B20="","",ROUNDDOWN(-CUMIPMT($F$9/2,($D$9-B20+1)*2,$H$19,1,2,0),0)))</f>
        <v/>
      </c>
      <c r="G20" s="33" t="str">
        <f t="shared" ref="G20:G53" si="6">IF($E$13="","",IF(B20="","",ROUNDUP(-CUMPRINC($F$9/2,($D$9-B20+1)*2,H19,1,2,0),0)))</f>
        <v/>
      </c>
      <c r="H20" s="36" t="str">
        <f t="shared" ref="H20:H53" si="7">IF($E$13="","",IF(B20="","",IF(H19-G20&lt;0,0,H19-G20)))</f>
        <v/>
      </c>
      <c r="I20" s="37" t="str">
        <f t="shared" ref="I20:I53" si="8">IF(E20="","",E20+IF(H20="",0,H20))</f>
        <v/>
      </c>
    </row>
    <row r="21" spans="1:9" ht="17.25" customHeight="1">
      <c r="A21" s="31">
        <f t="shared" si="1"/>
        <v>3</v>
      </c>
      <c r="B21" t="e">
        <f t="shared" si="0"/>
        <v>#VALUE!</v>
      </c>
      <c r="C21" s="32" t="str">
        <f t="shared" si="2"/>
        <v/>
      </c>
      <c r="D21" s="33" t="str">
        <f t="shared" si="3"/>
        <v/>
      </c>
      <c r="E21" s="34" t="str">
        <f t="shared" si="4"/>
        <v/>
      </c>
      <c r="F21" s="35" t="str">
        <f t="shared" si="5"/>
        <v/>
      </c>
      <c r="G21" s="33" t="str">
        <f t="shared" si="6"/>
        <v/>
      </c>
      <c r="H21" s="36" t="str">
        <f t="shared" si="7"/>
        <v/>
      </c>
      <c r="I21" s="37" t="str">
        <f t="shared" si="8"/>
        <v/>
      </c>
    </row>
    <row r="22" spans="1:9" ht="17.25" customHeight="1">
      <c r="A22" s="31">
        <f t="shared" si="1"/>
        <v>4</v>
      </c>
      <c r="B22" t="e">
        <f t="shared" si="0"/>
        <v>#VALUE!</v>
      </c>
      <c r="C22" s="32" t="str">
        <f t="shared" si="2"/>
        <v/>
      </c>
      <c r="D22" s="33" t="str">
        <f t="shared" si="3"/>
        <v/>
      </c>
      <c r="E22" s="34" t="str">
        <f t="shared" si="4"/>
        <v/>
      </c>
      <c r="F22" s="35" t="str">
        <f t="shared" si="5"/>
        <v/>
      </c>
      <c r="G22" s="33" t="str">
        <f>IF($E$13="","",IF(B22="","",ROUNDUP(-CUMPRINC($F$9/2,($D$9-B22+1)*2,H21,1,2,0),0)))</f>
        <v/>
      </c>
      <c r="H22" s="36" t="str">
        <f t="shared" si="7"/>
        <v/>
      </c>
      <c r="I22" s="37" t="str">
        <f t="shared" si="8"/>
        <v/>
      </c>
    </row>
    <row r="23" spans="1:9" ht="17.25" customHeight="1">
      <c r="A23" s="31">
        <f t="shared" si="1"/>
        <v>5</v>
      </c>
      <c r="B23" t="e">
        <f t="shared" si="0"/>
        <v>#VALUE!</v>
      </c>
      <c r="C23" s="39" t="str">
        <f t="shared" si="2"/>
        <v/>
      </c>
      <c r="D23" s="40" t="str">
        <f t="shared" si="3"/>
        <v/>
      </c>
      <c r="E23" s="41" t="str">
        <f t="shared" si="4"/>
        <v/>
      </c>
      <c r="F23" s="291" t="str">
        <f t="shared" si="5"/>
        <v/>
      </c>
      <c r="G23" s="40" t="str">
        <f t="shared" si="6"/>
        <v/>
      </c>
      <c r="H23" s="42" t="str">
        <f t="shared" si="7"/>
        <v/>
      </c>
      <c r="I23" s="603" t="str">
        <f t="shared" si="8"/>
        <v/>
      </c>
    </row>
    <row r="24" spans="1:9" ht="17.25" customHeight="1">
      <c r="A24" s="31">
        <f t="shared" si="1"/>
        <v>6</v>
      </c>
      <c r="B24" t="e">
        <f t="shared" si="0"/>
        <v>#VALUE!</v>
      </c>
      <c r="C24" s="32" t="str">
        <f t="shared" si="2"/>
        <v/>
      </c>
      <c r="D24" s="33" t="str">
        <f t="shared" si="3"/>
        <v/>
      </c>
      <c r="E24" s="34" t="str">
        <f t="shared" si="4"/>
        <v/>
      </c>
      <c r="F24" s="35" t="str">
        <f t="shared" si="5"/>
        <v/>
      </c>
      <c r="G24" s="33" t="str">
        <f t="shared" si="6"/>
        <v/>
      </c>
      <c r="H24" s="36" t="str">
        <f t="shared" si="7"/>
        <v/>
      </c>
      <c r="I24" s="43" t="str">
        <f t="shared" si="8"/>
        <v/>
      </c>
    </row>
    <row r="25" spans="1:9" ht="17.25" customHeight="1">
      <c r="A25" s="31">
        <f t="shared" si="1"/>
        <v>7</v>
      </c>
      <c r="B25" t="e">
        <f t="shared" si="0"/>
        <v>#VALUE!</v>
      </c>
      <c r="C25" s="32" t="str">
        <f t="shared" si="2"/>
        <v/>
      </c>
      <c r="D25" s="33" t="str">
        <f t="shared" si="3"/>
        <v/>
      </c>
      <c r="E25" s="34" t="str">
        <f t="shared" si="4"/>
        <v/>
      </c>
      <c r="F25" s="35" t="str">
        <f t="shared" si="5"/>
        <v/>
      </c>
      <c r="G25" s="33" t="str">
        <f t="shared" si="6"/>
        <v/>
      </c>
      <c r="H25" s="36" t="str">
        <f t="shared" si="7"/>
        <v/>
      </c>
      <c r="I25" s="37" t="str">
        <f t="shared" si="8"/>
        <v/>
      </c>
    </row>
    <row r="26" spans="1:9" ht="17.25" customHeight="1">
      <c r="A26" s="31">
        <f t="shared" si="1"/>
        <v>8</v>
      </c>
      <c r="B26" t="e">
        <f t="shared" si="0"/>
        <v>#VALUE!</v>
      </c>
      <c r="C26" s="32" t="str">
        <f t="shared" si="2"/>
        <v/>
      </c>
      <c r="D26" s="33" t="str">
        <f t="shared" si="3"/>
        <v/>
      </c>
      <c r="E26" s="34" t="str">
        <f t="shared" si="4"/>
        <v/>
      </c>
      <c r="F26" s="35" t="str">
        <f t="shared" si="5"/>
        <v/>
      </c>
      <c r="G26" s="33" t="str">
        <f t="shared" si="6"/>
        <v/>
      </c>
      <c r="H26" s="36" t="str">
        <f t="shared" si="7"/>
        <v/>
      </c>
      <c r="I26" s="37" t="str">
        <f t="shared" si="8"/>
        <v/>
      </c>
    </row>
    <row r="27" spans="1:9" ht="17.25" customHeight="1">
      <c r="A27" s="31">
        <f t="shared" si="1"/>
        <v>9</v>
      </c>
      <c r="B27" t="e">
        <f t="shared" si="0"/>
        <v>#VALUE!</v>
      </c>
      <c r="C27" s="32" t="str">
        <f t="shared" si="2"/>
        <v/>
      </c>
      <c r="D27" s="33" t="str">
        <f t="shared" si="3"/>
        <v/>
      </c>
      <c r="E27" s="34" t="str">
        <f t="shared" si="4"/>
        <v/>
      </c>
      <c r="F27" s="35" t="str">
        <f t="shared" si="5"/>
        <v/>
      </c>
      <c r="G27" s="33" t="str">
        <f t="shared" si="6"/>
        <v/>
      </c>
      <c r="H27" s="36" t="str">
        <f t="shared" si="7"/>
        <v/>
      </c>
      <c r="I27" s="37" t="str">
        <f t="shared" si="8"/>
        <v/>
      </c>
    </row>
    <row r="28" spans="1:9" ht="17.25" customHeight="1">
      <c r="A28" s="31">
        <f t="shared" si="1"/>
        <v>10</v>
      </c>
      <c r="B28" t="e">
        <f t="shared" si="0"/>
        <v>#VALUE!</v>
      </c>
      <c r="C28" s="39" t="str">
        <f t="shared" si="2"/>
        <v/>
      </c>
      <c r="D28" s="40" t="str">
        <f t="shared" si="3"/>
        <v/>
      </c>
      <c r="E28" s="41" t="str">
        <f t="shared" si="4"/>
        <v/>
      </c>
      <c r="F28" s="291" t="str">
        <f t="shared" si="5"/>
        <v/>
      </c>
      <c r="G28" s="40" t="str">
        <f t="shared" si="6"/>
        <v/>
      </c>
      <c r="H28" s="42" t="str">
        <f t="shared" si="7"/>
        <v/>
      </c>
      <c r="I28" s="603" t="str">
        <f t="shared" si="8"/>
        <v/>
      </c>
    </row>
    <row r="29" spans="1:9" ht="17.25" customHeight="1">
      <c r="A29" s="31">
        <f t="shared" si="1"/>
        <v>11</v>
      </c>
      <c r="B29" t="e">
        <f t="shared" si="0"/>
        <v>#VALUE!</v>
      </c>
      <c r="C29" s="32" t="str">
        <f t="shared" si="2"/>
        <v/>
      </c>
      <c r="D29" s="33" t="str">
        <f t="shared" si="3"/>
        <v/>
      </c>
      <c r="E29" s="34" t="str">
        <f t="shared" si="4"/>
        <v/>
      </c>
      <c r="F29" s="35" t="str">
        <f t="shared" si="5"/>
        <v/>
      </c>
      <c r="G29" s="33" t="str">
        <f t="shared" si="6"/>
        <v/>
      </c>
      <c r="H29" s="36" t="str">
        <f t="shared" si="7"/>
        <v/>
      </c>
      <c r="I29" s="43" t="str">
        <f t="shared" si="8"/>
        <v/>
      </c>
    </row>
    <row r="30" spans="1:9" ht="17.25" customHeight="1">
      <c r="A30" s="31">
        <f t="shared" si="1"/>
        <v>12</v>
      </c>
      <c r="B30" t="e">
        <f t="shared" si="0"/>
        <v>#VALUE!</v>
      </c>
      <c r="C30" s="32" t="str">
        <f t="shared" si="2"/>
        <v/>
      </c>
      <c r="D30" s="33" t="str">
        <f t="shared" si="3"/>
        <v/>
      </c>
      <c r="E30" s="34" t="str">
        <f t="shared" si="4"/>
        <v/>
      </c>
      <c r="F30" s="35" t="str">
        <f t="shared" si="5"/>
        <v/>
      </c>
      <c r="G30" s="33" t="str">
        <f t="shared" si="6"/>
        <v/>
      </c>
      <c r="H30" s="36" t="str">
        <f t="shared" si="7"/>
        <v/>
      </c>
      <c r="I30" s="37" t="str">
        <f t="shared" si="8"/>
        <v/>
      </c>
    </row>
    <row r="31" spans="1:9" ht="17.25" customHeight="1">
      <c r="A31" s="31">
        <f t="shared" si="1"/>
        <v>13</v>
      </c>
      <c r="B31" t="e">
        <f t="shared" si="0"/>
        <v>#VALUE!</v>
      </c>
      <c r="C31" s="32" t="str">
        <f t="shared" si="2"/>
        <v/>
      </c>
      <c r="D31" s="33" t="str">
        <f t="shared" si="3"/>
        <v/>
      </c>
      <c r="E31" s="34" t="str">
        <f t="shared" si="4"/>
        <v/>
      </c>
      <c r="F31" s="35" t="str">
        <f t="shared" si="5"/>
        <v/>
      </c>
      <c r="G31" s="33" t="str">
        <f t="shared" si="6"/>
        <v/>
      </c>
      <c r="H31" s="36" t="str">
        <f t="shared" si="7"/>
        <v/>
      </c>
      <c r="I31" s="37" t="str">
        <f t="shared" si="8"/>
        <v/>
      </c>
    </row>
    <row r="32" spans="1:9" ht="17.25" customHeight="1">
      <c r="A32" s="31">
        <f t="shared" si="1"/>
        <v>14</v>
      </c>
      <c r="B32" t="e">
        <f t="shared" si="0"/>
        <v>#VALUE!</v>
      </c>
      <c r="C32" s="32" t="str">
        <f t="shared" si="2"/>
        <v/>
      </c>
      <c r="D32" s="33" t="str">
        <f t="shared" si="3"/>
        <v/>
      </c>
      <c r="E32" s="34" t="str">
        <f t="shared" si="4"/>
        <v/>
      </c>
      <c r="F32" s="35" t="str">
        <f t="shared" si="5"/>
        <v/>
      </c>
      <c r="G32" s="33" t="str">
        <f t="shared" si="6"/>
        <v/>
      </c>
      <c r="H32" s="36" t="str">
        <f t="shared" si="7"/>
        <v/>
      </c>
      <c r="I32" s="37" t="str">
        <f t="shared" si="8"/>
        <v/>
      </c>
    </row>
    <row r="33" spans="1:9" ht="17.25" customHeight="1">
      <c r="A33" s="31">
        <f t="shared" si="1"/>
        <v>15</v>
      </c>
      <c r="B33" t="e">
        <f t="shared" si="0"/>
        <v>#VALUE!</v>
      </c>
      <c r="C33" s="39" t="str">
        <f t="shared" si="2"/>
        <v/>
      </c>
      <c r="D33" s="40" t="str">
        <f t="shared" si="3"/>
        <v/>
      </c>
      <c r="E33" s="41" t="str">
        <f t="shared" si="4"/>
        <v/>
      </c>
      <c r="F33" s="291" t="str">
        <f t="shared" si="5"/>
        <v/>
      </c>
      <c r="G33" s="40" t="str">
        <f t="shared" si="6"/>
        <v/>
      </c>
      <c r="H33" s="42" t="str">
        <f t="shared" si="7"/>
        <v/>
      </c>
      <c r="I33" s="603" t="str">
        <f t="shared" si="8"/>
        <v/>
      </c>
    </row>
    <row r="34" spans="1:9" ht="17.25" customHeight="1">
      <c r="A34" s="31">
        <f t="shared" si="1"/>
        <v>16</v>
      </c>
      <c r="B34" t="e">
        <f t="shared" si="0"/>
        <v>#VALUE!</v>
      </c>
      <c r="C34" s="32" t="str">
        <f t="shared" si="2"/>
        <v/>
      </c>
      <c r="D34" s="33" t="str">
        <f t="shared" si="3"/>
        <v/>
      </c>
      <c r="E34" s="34" t="str">
        <f t="shared" si="4"/>
        <v/>
      </c>
      <c r="F34" s="35" t="str">
        <f t="shared" si="5"/>
        <v/>
      </c>
      <c r="G34" s="33" t="str">
        <f t="shared" si="6"/>
        <v/>
      </c>
      <c r="H34" s="36" t="str">
        <f t="shared" si="7"/>
        <v/>
      </c>
      <c r="I34" s="43" t="str">
        <f t="shared" si="8"/>
        <v/>
      </c>
    </row>
    <row r="35" spans="1:9" ht="17.25" customHeight="1">
      <c r="A35" s="31">
        <f t="shared" si="1"/>
        <v>17</v>
      </c>
      <c r="B35" t="e">
        <f t="shared" si="0"/>
        <v>#VALUE!</v>
      </c>
      <c r="C35" s="32" t="str">
        <f t="shared" si="2"/>
        <v/>
      </c>
      <c r="D35" s="33" t="str">
        <f t="shared" si="3"/>
        <v/>
      </c>
      <c r="E35" s="34" t="str">
        <f t="shared" si="4"/>
        <v/>
      </c>
      <c r="F35" s="35" t="str">
        <f t="shared" si="5"/>
        <v/>
      </c>
      <c r="G35" s="33" t="str">
        <f t="shared" si="6"/>
        <v/>
      </c>
      <c r="H35" s="36" t="str">
        <f t="shared" si="7"/>
        <v/>
      </c>
      <c r="I35" s="37" t="str">
        <f t="shared" si="8"/>
        <v/>
      </c>
    </row>
    <row r="36" spans="1:9" ht="17.25" customHeight="1">
      <c r="A36" s="31">
        <f t="shared" si="1"/>
        <v>18</v>
      </c>
      <c r="B36" t="e">
        <f t="shared" si="0"/>
        <v>#VALUE!</v>
      </c>
      <c r="C36" s="32" t="str">
        <f t="shared" si="2"/>
        <v/>
      </c>
      <c r="D36" s="33" t="str">
        <f t="shared" si="3"/>
        <v/>
      </c>
      <c r="E36" s="34" t="str">
        <f t="shared" si="4"/>
        <v/>
      </c>
      <c r="F36" s="35" t="str">
        <f t="shared" si="5"/>
        <v/>
      </c>
      <c r="G36" s="33" t="str">
        <f t="shared" si="6"/>
        <v/>
      </c>
      <c r="H36" s="36" t="str">
        <f t="shared" si="7"/>
        <v/>
      </c>
      <c r="I36" s="37" t="str">
        <f t="shared" si="8"/>
        <v/>
      </c>
    </row>
    <row r="37" spans="1:9" ht="17.25" customHeight="1">
      <c r="A37" s="31">
        <f t="shared" si="1"/>
        <v>19</v>
      </c>
      <c r="B37" t="e">
        <f t="shared" si="0"/>
        <v>#VALUE!</v>
      </c>
      <c r="C37" s="32" t="str">
        <f t="shared" si="2"/>
        <v/>
      </c>
      <c r="D37" s="33" t="str">
        <f t="shared" si="3"/>
        <v/>
      </c>
      <c r="E37" s="34" t="str">
        <f t="shared" si="4"/>
        <v/>
      </c>
      <c r="F37" s="35" t="str">
        <f t="shared" si="5"/>
        <v/>
      </c>
      <c r="G37" s="33" t="str">
        <f t="shared" si="6"/>
        <v/>
      </c>
      <c r="H37" s="36" t="str">
        <f t="shared" si="7"/>
        <v/>
      </c>
      <c r="I37" s="37" t="str">
        <f t="shared" si="8"/>
        <v/>
      </c>
    </row>
    <row r="38" spans="1:9" ht="17.25" customHeight="1">
      <c r="A38" s="31">
        <f t="shared" si="1"/>
        <v>20</v>
      </c>
      <c r="B38" t="e">
        <f t="shared" si="0"/>
        <v>#VALUE!</v>
      </c>
      <c r="C38" s="39" t="str">
        <f t="shared" si="2"/>
        <v/>
      </c>
      <c r="D38" s="40" t="str">
        <f t="shared" si="3"/>
        <v/>
      </c>
      <c r="E38" s="41" t="str">
        <f t="shared" si="4"/>
        <v/>
      </c>
      <c r="F38" s="291" t="str">
        <f t="shared" si="5"/>
        <v/>
      </c>
      <c r="G38" s="40" t="str">
        <f t="shared" si="6"/>
        <v/>
      </c>
      <c r="H38" s="42" t="str">
        <f t="shared" si="7"/>
        <v/>
      </c>
      <c r="I38" s="603" t="str">
        <f t="shared" si="8"/>
        <v/>
      </c>
    </row>
    <row r="39" spans="1:9" ht="17.25" customHeight="1">
      <c r="A39" s="31">
        <f t="shared" si="1"/>
        <v>21</v>
      </c>
      <c r="B39" t="e">
        <f t="shared" si="0"/>
        <v>#VALUE!</v>
      </c>
      <c r="C39" s="32" t="str">
        <f t="shared" si="2"/>
        <v/>
      </c>
      <c r="D39" s="33" t="str">
        <f t="shared" si="3"/>
        <v/>
      </c>
      <c r="E39" s="34" t="str">
        <f t="shared" si="4"/>
        <v/>
      </c>
      <c r="F39" s="35" t="str">
        <f t="shared" si="5"/>
        <v/>
      </c>
      <c r="G39" s="33" t="str">
        <f t="shared" si="6"/>
        <v/>
      </c>
      <c r="H39" s="36" t="str">
        <f t="shared" si="7"/>
        <v/>
      </c>
      <c r="I39" s="43" t="str">
        <f t="shared" si="8"/>
        <v/>
      </c>
    </row>
    <row r="40" spans="1:9" ht="17.25" customHeight="1">
      <c r="A40" s="31">
        <f t="shared" si="1"/>
        <v>22</v>
      </c>
      <c r="B40" t="e">
        <f t="shared" si="0"/>
        <v>#VALUE!</v>
      </c>
      <c r="C40" s="32" t="str">
        <f t="shared" si="2"/>
        <v/>
      </c>
      <c r="D40" s="33" t="str">
        <f t="shared" si="3"/>
        <v/>
      </c>
      <c r="E40" s="34" t="str">
        <f t="shared" si="4"/>
        <v/>
      </c>
      <c r="F40" s="35" t="str">
        <f t="shared" si="5"/>
        <v/>
      </c>
      <c r="G40" s="33" t="str">
        <f t="shared" si="6"/>
        <v/>
      </c>
      <c r="H40" s="36" t="str">
        <f t="shared" si="7"/>
        <v/>
      </c>
      <c r="I40" s="37" t="str">
        <f t="shared" si="8"/>
        <v/>
      </c>
    </row>
    <row r="41" spans="1:9" ht="17.25" customHeight="1">
      <c r="A41" s="31">
        <f t="shared" si="1"/>
        <v>23</v>
      </c>
      <c r="B41" t="e">
        <f t="shared" si="0"/>
        <v>#VALUE!</v>
      </c>
      <c r="C41" s="32" t="str">
        <f t="shared" si="2"/>
        <v/>
      </c>
      <c r="D41" s="33" t="str">
        <f t="shared" si="3"/>
        <v/>
      </c>
      <c r="E41" s="34" t="str">
        <f t="shared" si="4"/>
        <v/>
      </c>
      <c r="F41" s="35" t="str">
        <f t="shared" si="5"/>
        <v/>
      </c>
      <c r="G41" s="33" t="str">
        <f t="shared" si="6"/>
        <v/>
      </c>
      <c r="H41" s="36" t="str">
        <f t="shared" si="7"/>
        <v/>
      </c>
      <c r="I41" s="37" t="str">
        <f t="shared" si="8"/>
        <v/>
      </c>
    </row>
    <row r="42" spans="1:9" ht="17.25" customHeight="1">
      <c r="A42" s="31">
        <f t="shared" si="1"/>
        <v>24</v>
      </c>
      <c r="B42" t="e">
        <f t="shared" si="0"/>
        <v>#VALUE!</v>
      </c>
      <c r="C42" s="32" t="str">
        <f t="shared" si="2"/>
        <v/>
      </c>
      <c r="D42" s="33" t="str">
        <f t="shared" si="3"/>
        <v/>
      </c>
      <c r="E42" s="34" t="str">
        <f t="shared" si="4"/>
        <v/>
      </c>
      <c r="F42" s="35" t="str">
        <f t="shared" si="5"/>
        <v/>
      </c>
      <c r="G42" s="33" t="str">
        <f t="shared" si="6"/>
        <v/>
      </c>
      <c r="H42" s="36" t="str">
        <f t="shared" si="7"/>
        <v/>
      </c>
      <c r="I42" s="37" t="str">
        <f t="shared" si="8"/>
        <v/>
      </c>
    </row>
    <row r="43" spans="1:9" ht="17.25" customHeight="1">
      <c r="A43" s="31">
        <f t="shared" si="1"/>
        <v>25</v>
      </c>
      <c r="B43" t="e">
        <f t="shared" si="0"/>
        <v>#VALUE!</v>
      </c>
      <c r="C43" s="39" t="str">
        <f t="shared" si="2"/>
        <v/>
      </c>
      <c r="D43" s="40" t="str">
        <f t="shared" si="3"/>
        <v/>
      </c>
      <c r="E43" s="41" t="str">
        <f t="shared" si="4"/>
        <v/>
      </c>
      <c r="F43" s="291" t="str">
        <f t="shared" si="5"/>
        <v/>
      </c>
      <c r="G43" s="40" t="str">
        <f t="shared" si="6"/>
        <v/>
      </c>
      <c r="H43" s="42" t="str">
        <f t="shared" si="7"/>
        <v/>
      </c>
      <c r="I43" s="603" t="str">
        <f t="shared" si="8"/>
        <v/>
      </c>
    </row>
    <row r="44" spans="1:9" ht="17.25" customHeight="1">
      <c r="A44" s="31">
        <f t="shared" si="1"/>
        <v>26</v>
      </c>
      <c r="B44" t="e">
        <f t="shared" si="0"/>
        <v>#VALUE!</v>
      </c>
      <c r="C44" s="32" t="str">
        <f t="shared" si="2"/>
        <v/>
      </c>
      <c r="D44" s="33" t="str">
        <f t="shared" si="3"/>
        <v/>
      </c>
      <c r="E44" s="34" t="str">
        <f t="shared" si="4"/>
        <v/>
      </c>
      <c r="F44" s="35" t="str">
        <f t="shared" si="5"/>
        <v/>
      </c>
      <c r="G44" s="33" t="str">
        <f t="shared" si="6"/>
        <v/>
      </c>
      <c r="H44" s="36" t="str">
        <f t="shared" si="7"/>
        <v/>
      </c>
      <c r="I44" s="43" t="str">
        <f t="shared" si="8"/>
        <v/>
      </c>
    </row>
    <row r="45" spans="1:9" ht="17.25" customHeight="1">
      <c r="A45" s="31">
        <f t="shared" si="1"/>
        <v>27</v>
      </c>
      <c r="B45" t="e">
        <f t="shared" si="0"/>
        <v>#VALUE!</v>
      </c>
      <c r="C45" s="32" t="str">
        <f t="shared" si="2"/>
        <v/>
      </c>
      <c r="D45" s="33" t="str">
        <f t="shared" si="3"/>
        <v/>
      </c>
      <c r="E45" s="34" t="str">
        <f t="shared" si="4"/>
        <v/>
      </c>
      <c r="F45" s="35" t="str">
        <f t="shared" si="5"/>
        <v/>
      </c>
      <c r="G45" s="33" t="str">
        <f t="shared" si="6"/>
        <v/>
      </c>
      <c r="H45" s="36" t="str">
        <f t="shared" si="7"/>
        <v/>
      </c>
      <c r="I45" s="37" t="str">
        <f t="shared" si="8"/>
        <v/>
      </c>
    </row>
    <row r="46" spans="1:9" ht="17.25" customHeight="1">
      <c r="A46" s="31">
        <f t="shared" si="1"/>
        <v>28</v>
      </c>
      <c r="B46" t="e">
        <f t="shared" si="0"/>
        <v>#VALUE!</v>
      </c>
      <c r="C46" s="32" t="str">
        <f t="shared" si="2"/>
        <v/>
      </c>
      <c r="D46" s="33" t="str">
        <f t="shared" si="3"/>
        <v/>
      </c>
      <c r="E46" s="34" t="str">
        <f t="shared" si="4"/>
        <v/>
      </c>
      <c r="F46" s="35" t="str">
        <f t="shared" si="5"/>
        <v/>
      </c>
      <c r="G46" s="33" t="str">
        <f t="shared" si="6"/>
        <v/>
      </c>
      <c r="H46" s="36" t="str">
        <f t="shared" si="7"/>
        <v/>
      </c>
      <c r="I46" s="37" t="str">
        <f t="shared" si="8"/>
        <v/>
      </c>
    </row>
    <row r="47" spans="1:9" ht="17.25" customHeight="1">
      <c r="A47" s="31">
        <f t="shared" si="1"/>
        <v>29</v>
      </c>
      <c r="B47" t="e">
        <f t="shared" si="0"/>
        <v>#VALUE!</v>
      </c>
      <c r="C47" s="32" t="str">
        <f t="shared" si="2"/>
        <v/>
      </c>
      <c r="D47" s="33" t="str">
        <f t="shared" si="3"/>
        <v/>
      </c>
      <c r="E47" s="34" t="str">
        <f t="shared" si="4"/>
        <v/>
      </c>
      <c r="F47" s="35" t="str">
        <f t="shared" si="5"/>
        <v/>
      </c>
      <c r="G47" s="33" t="str">
        <f t="shared" si="6"/>
        <v/>
      </c>
      <c r="H47" s="36" t="str">
        <f t="shared" si="7"/>
        <v/>
      </c>
      <c r="I47" s="37" t="str">
        <f t="shared" si="8"/>
        <v/>
      </c>
    </row>
    <row r="48" spans="1:9" ht="17.25" customHeight="1">
      <c r="A48" s="31">
        <f t="shared" si="1"/>
        <v>30</v>
      </c>
      <c r="B48" t="e">
        <f t="shared" si="0"/>
        <v>#VALUE!</v>
      </c>
      <c r="C48" s="39" t="str">
        <f t="shared" si="2"/>
        <v/>
      </c>
      <c r="D48" s="40" t="str">
        <f t="shared" si="3"/>
        <v/>
      </c>
      <c r="E48" s="41" t="str">
        <f t="shared" si="4"/>
        <v/>
      </c>
      <c r="F48" s="291" t="str">
        <f t="shared" si="5"/>
        <v/>
      </c>
      <c r="G48" s="40" t="str">
        <f t="shared" si="6"/>
        <v/>
      </c>
      <c r="H48" s="42" t="str">
        <f t="shared" si="7"/>
        <v/>
      </c>
      <c r="I48" s="603" t="str">
        <f t="shared" si="8"/>
        <v/>
      </c>
    </row>
    <row r="49" spans="1:9" ht="17.25" customHeight="1">
      <c r="A49" s="31">
        <f t="shared" si="1"/>
        <v>31</v>
      </c>
      <c r="B49" t="e">
        <f t="shared" si="0"/>
        <v>#VALUE!</v>
      </c>
      <c r="C49" s="236" t="str">
        <f t="shared" si="2"/>
        <v/>
      </c>
      <c r="D49" s="45" t="str">
        <f t="shared" si="3"/>
        <v/>
      </c>
      <c r="E49" s="46" t="str">
        <f t="shared" si="4"/>
        <v/>
      </c>
      <c r="F49" s="44" t="str">
        <f t="shared" si="5"/>
        <v/>
      </c>
      <c r="G49" s="45" t="str">
        <f t="shared" si="6"/>
        <v/>
      </c>
      <c r="H49" s="47" t="str">
        <f t="shared" si="7"/>
        <v/>
      </c>
      <c r="I49" s="43" t="str">
        <f t="shared" si="8"/>
        <v/>
      </c>
    </row>
    <row r="50" spans="1:9" ht="17.25" customHeight="1">
      <c r="A50" s="31">
        <f t="shared" si="1"/>
        <v>32</v>
      </c>
      <c r="B50" t="e">
        <f t="shared" si="0"/>
        <v>#VALUE!</v>
      </c>
      <c r="C50" s="32" t="str">
        <f t="shared" si="2"/>
        <v/>
      </c>
      <c r="D50" s="33" t="str">
        <f t="shared" si="3"/>
        <v/>
      </c>
      <c r="E50" s="34" t="str">
        <f t="shared" si="4"/>
        <v/>
      </c>
      <c r="F50" s="35" t="str">
        <f t="shared" si="5"/>
        <v/>
      </c>
      <c r="G50" s="33" t="str">
        <f t="shared" si="6"/>
        <v/>
      </c>
      <c r="H50" s="36" t="str">
        <f t="shared" si="7"/>
        <v/>
      </c>
      <c r="I50" s="37" t="str">
        <f t="shared" si="8"/>
        <v/>
      </c>
    </row>
    <row r="51" spans="1:9" ht="17.25" customHeight="1">
      <c r="A51" s="31">
        <f t="shared" si="1"/>
        <v>33</v>
      </c>
      <c r="B51" t="e">
        <f t="shared" si="0"/>
        <v>#VALUE!</v>
      </c>
      <c r="C51" s="32" t="str">
        <f t="shared" si="2"/>
        <v/>
      </c>
      <c r="D51" s="33" t="str">
        <f t="shared" si="3"/>
        <v/>
      </c>
      <c r="E51" s="34" t="str">
        <f t="shared" si="4"/>
        <v/>
      </c>
      <c r="F51" s="35" t="str">
        <f t="shared" si="5"/>
        <v/>
      </c>
      <c r="G51" s="33" t="str">
        <f t="shared" si="6"/>
        <v/>
      </c>
      <c r="H51" s="36" t="str">
        <f t="shared" si="7"/>
        <v/>
      </c>
      <c r="I51" s="37" t="str">
        <f t="shared" si="8"/>
        <v/>
      </c>
    </row>
    <row r="52" spans="1:9" ht="17.25" customHeight="1">
      <c r="A52" s="31">
        <f t="shared" si="1"/>
        <v>34</v>
      </c>
      <c r="B52" t="e">
        <f t="shared" si="0"/>
        <v>#VALUE!</v>
      </c>
      <c r="C52" s="32" t="str">
        <f t="shared" si="2"/>
        <v/>
      </c>
      <c r="D52" s="33" t="str">
        <f t="shared" si="3"/>
        <v/>
      </c>
      <c r="E52" s="34" t="str">
        <f t="shared" si="4"/>
        <v/>
      </c>
      <c r="F52" s="35" t="str">
        <f t="shared" si="5"/>
        <v/>
      </c>
      <c r="G52" s="33" t="str">
        <f t="shared" si="6"/>
        <v/>
      </c>
      <c r="H52" s="36" t="str">
        <f t="shared" si="7"/>
        <v/>
      </c>
      <c r="I52" s="37" t="str">
        <f t="shared" si="8"/>
        <v/>
      </c>
    </row>
    <row r="53" spans="1:9" ht="17.25" customHeight="1" thickBot="1">
      <c r="A53" s="31">
        <f t="shared" si="1"/>
        <v>35</v>
      </c>
      <c r="B53" t="e">
        <f t="shared" si="0"/>
        <v>#VALUE!</v>
      </c>
      <c r="C53" s="107" t="str">
        <f t="shared" si="2"/>
        <v/>
      </c>
      <c r="D53" s="49" t="str">
        <f t="shared" si="3"/>
        <v/>
      </c>
      <c r="E53" s="50" t="str">
        <f t="shared" si="4"/>
        <v/>
      </c>
      <c r="F53" s="48" t="str">
        <f t="shared" si="5"/>
        <v/>
      </c>
      <c r="G53" s="49" t="str">
        <f t="shared" si="6"/>
        <v/>
      </c>
      <c r="H53" s="51" t="str">
        <f t="shared" si="7"/>
        <v/>
      </c>
      <c r="I53" s="52" t="str">
        <f t="shared" si="8"/>
        <v/>
      </c>
    </row>
  </sheetData>
  <sheetProtection algorithmName="SHA-512" hashValue="NPveUsIsa0RP9amUSZ13neeaXhvoB97W61CDpV8F1dCUQ15Fn/5rMONmKMXtfyWZoL/xhWesQEGYq+IvOTYP2Q==" saltValue="ge5t9Y4GaC5Z0Fs8cM5E0Q==" spinCount="100000" sheet="1" selectLockedCells="1"/>
  <mergeCells count="20">
    <mergeCell ref="A5:C5"/>
    <mergeCell ref="E5:F5"/>
    <mergeCell ref="F8:H8"/>
    <mergeCell ref="F11:H11"/>
    <mergeCell ref="C16:I16"/>
    <mergeCell ref="C17:E17"/>
    <mergeCell ref="F17:H17"/>
    <mergeCell ref="C13:D13"/>
    <mergeCell ref="C12:D12"/>
    <mergeCell ref="I7:I13"/>
    <mergeCell ref="D9:D10"/>
    <mergeCell ref="F9:H10"/>
    <mergeCell ref="F12:H12"/>
    <mergeCell ref="F13:H13"/>
    <mergeCell ref="D2:E2"/>
    <mergeCell ref="F2:G2"/>
    <mergeCell ref="H2:I2"/>
    <mergeCell ref="D3:E3"/>
    <mergeCell ref="F3:G3"/>
    <mergeCell ref="H3:I3"/>
  </mergeCells>
  <phoneticPr fontId="8"/>
  <conditionalFormatting sqref="D2:E2">
    <cfRule type="cellIs" dxfId="9" priority="5" operator="notEqual">
      <formula>0</formula>
    </cfRule>
  </conditionalFormatting>
  <conditionalFormatting sqref="D3:E3">
    <cfRule type="cellIs" dxfId="8" priority="4" operator="notEqual">
      <formula>0</formula>
    </cfRule>
  </conditionalFormatting>
  <conditionalFormatting sqref="F2:G2">
    <cfRule type="cellIs" dxfId="7" priority="3" operator="notEqual">
      <formula>0</formula>
    </cfRule>
  </conditionalFormatting>
  <conditionalFormatting sqref="F3:G3">
    <cfRule type="cellIs" dxfId="6" priority="2" operator="notEqual">
      <formula>0</formula>
    </cfRule>
  </conditionalFormatting>
  <conditionalFormatting sqref="H2:I2">
    <cfRule type="cellIs" dxfId="5" priority="1" operator="notEqual">
      <formula>0</formula>
    </cfRule>
  </conditionalFormatting>
  <hyperlinks>
    <hyperlink ref="D3:E3" location="フラット３５元金均等償還表!A1" display="フラット３５元金均等償還表!A1" xr:uid="{00000000-0004-0000-0A00-000000000000}"/>
    <hyperlink ref="F2:G2" location="ベストミックス償還表!A1" display="ベストミックス償還表!A1" xr:uid="{00000000-0004-0000-0A00-000001000000}"/>
    <hyperlink ref="F3:G3" location="アプラス償還表!A1" display="アプラス償還表!A1" xr:uid="{00000000-0004-0000-0A00-000002000000}"/>
    <hyperlink ref="H2:I2" location="アプラスワイド償還表!A1" display="アプラスワイド償還表!A1" xr:uid="{00000000-0004-0000-0A00-000003000000}"/>
  </hyperlinks>
  <printOptions verticalCentered="1"/>
  <pageMargins left="0.31496062992125984" right="0.31496062992125984"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FFCC"/>
  </sheetPr>
  <dimension ref="A1:O53"/>
  <sheetViews>
    <sheetView topLeftCell="A12" zoomScale="90" zoomScaleNormal="90" workbookViewId="0">
      <selection activeCell="D2" sqref="D2:E2"/>
    </sheetView>
  </sheetViews>
  <sheetFormatPr defaultRowHeight="17.25" customHeight="1"/>
  <cols>
    <col min="1" max="1" width="12.125" customWidth="1"/>
    <col min="2" max="2" width="12.125" hidden="1" customWidth="1"/>
    <col min="3" max="9" width="12.125" customWidth="1"/>
    <col min="10" max="16" width="13.125" customWidth="1"/>
  </cols>
  <sheetData>
    <row r="1" spans="1:15" ht="17.25" customHeight="1">
      <c r="C1" t="s">
        <v>619</v>
      </c>
    </row>
    <row r="2" spans="1:15" ht="17.25" customHeight="1">
      <c r="D2" s="1591" t="str">
        <f>IF(計算シート!H18=1,"フラット３５元利均等",0)</f>
        <v>フラット３５元利均等</v>
      </c>
      <c r="E2" s="1591"/>
      <c r="F2" s="1591">
        <f>IF(資金計画!K24&gt;0,"ベストミックス",0)</f>
        <v>0</v>
      </c>
      <c r="G2" s="1591"/>
      <c r="H2" s="1591">
        <f>IF(資金計画!K29&gt;0,"アプラスワイド",0)</f>
        <v>0</v>
      </c>
      <c r="I2" s="1591"/>
    </row>
    <row r="3" spans="1:15" ht="17.25" customHeight="1">
      <c r="D3" s="1591">
        <f>IF(計算シート!H18=1,0,"フラット３5元金均等")</f>
        <v>0</v>
      </c>
      <c r="E3" s="1591"/>
      <c r="F3" s="1591">
        <f>IF(資金計画!K28&gt;0,"アプラス",0)</f>
        <v>0</v>
      </c>
      <c r="G3" s="1591"/>
      <c r="H3" s="1592" t="s">
        <v>620</v>
      </c>
      <c r="I3" s="1593"/>
    </row>
    <row r="5" spans="1:15" ht="26.25" customHeight="1">
      <c r="A5" s="1604" t="str">
        <f>IF(印刷ページ!A2="","",印刷ページ!A2)</f>
        <v/>
      </c>
      <c r="B5" s="1604"/>
      <c r="C5" s="1604"/>
      <c r="D5" s="225" t="s">
        <v>7</v>
      </c>
      <c r="E5" s="1604" t="str">
        <f>IF(印刷ページ!F2="","",印刷ページ!F2)</f>
        <v/>
      </c>
      <c r="F5" s="1604"/>
      <c r="G5" s="225" t="s">
        <v>7</v>
      </c>
      <c r="H5" s="225" t="s">
        <v>621</v>
      </c>
      <c r="I5" s="95" t="str">
        <f>IF(H2=0,"",5-COUNT(D2:I3)&amp;"/"&amp;5-COUNT(D2:I3))</f>
        <v/>
      </c>
    </row>
    <row r="6" spans="1:15" ht="17.25" customHeight="1">
      <c r="F6" s="104"/>
    </row>
    <row r="7" spans="1:15" ht="17.25" customHeight="1">
      <c r="D7" s="225"/>
      <c r="I7" s="1640" t="str">
        <f>IF(H2=0,"対象外です","")</f>
        <v>対象外です</v>
      </c>
    </row>
    <row r="8" spans="1:15" ht="17.25" customHeight="1">
      <c r="D8" s="593" t="s">
        <v>622</v>
      </c>
      <c r="F8" s="1605" t="s">
        <v>623</v>
      </c>
      <c r="G8" s="1606"/>
      <c r="H8" s="1607"/>
      <c r="I8" s="1601"/>
      <c r="J8" s="9"/>
      <c r="K8" s="9"/>
      <c r="L8" s="9"/>
      <c r="M8" s="9"/>
    </row>
    <row r="9" spans="1:15" ht="17.25" customHeight="1">
      <c r="D9" s="1624" t="str">
        <f>IF(E12="","",計算シート!H196)</f>
        <v/>
      </c>
      <c r="F9" s="1626" t="str">
        <f>IF(E12="","",計算シート!C196)</f>
        <v/>
      </c>
      <c r="G9" s="1627"/>
      <c r="H9" s="1628"/>
      <c r="I9" s="1601"/>
      <c r="K9" s="233"/>
      <c r="L9" s="233"/>
      <c r="M9" s="233"/>
    </row>
    <row r="10" spans="1:15" ht="17.25" customHeight="1">
      <c r="D10" s="1625"/>
      <c r="F10" s="1629"/>
      <c r="G10" s="1630"/>
      <c r="H10" s="1631"/>
      <c r="I10" s="1601"/>
      <c r="K10" s="233"/>
      <c r="L10" s="233"/>
      <c r="M10" s="233"/>
      <c r="N10" s="95"/>
      <c r="O10" s="95"/>
    </row>
    <row r="11" spans="1:15" ht="17.25" customHeight="1">
      <c r="D11" s="240"/>
      <c r="F11" s="1605" t="s">
        <v>624</v>
      </c>
      <c r="G11" s="1606"/>
      <c r="H11" s="1607"/>
      <c r="I11" s="1601"/>
      <c r="K11" s="233"/>
      <c r="L11" s="233"/>
      <c r="M11" s="233"/>
      <c r="N11" s="95"/>
      <c r="O11" s="95"/>
    </row>
    <row r="12" spans="1:15" ht="17.25" customHeight="1">
      <c r="B12" s="237"/>
      <c r="C12" s="1662" t="s">
        <v>94</v>
      </c>
      <c r="D12" s="1663"/>
      <c r="E12" s="615" t="str">
        <f>IF(計算シート!M196=0,"",計算シート!M196)</f>
        <v/>
      </c>
      <c r="F12" s="1649" t="str">
        <f>IF(E12="","",計算シート!M197)</f>
        <v/>
      </c>
      <c r="G12" s="1650"/>
      <c r="H12" s="1651"/>
      <c r="I12" s="1601"/>
    </row>
    <row r="13" spans="1:15" ht="17.25" customHeight="1">
      <c r="B13" s="616"/>
      <c r="C13" s="1664" t="s">
        <v>626</v>
      </c>
      <c r="D13" s="1665"/>
      <c r="E13" s="484" t="str">
        <f>IF(計算シート!M198=0,"",計算シート!M198)</f>
        <v/>
      </c>
      <c r="F13" s="1652" t="str">
        <f>IF(E13="","",計算シート!M199)</f>
        <v/>
      </c>
      <c r="G13" s="1653"/>
      <c r="H13" s="1654"/>
      <c r="I13" s="1640"/>
      <c r="N13" s="95"/>
      <c r="O13" s="95"/>
    </row>
    <row r="14" spans="1:15" ht="17.25" customHeight="1">
      <c r="B14" s="238"/>
      <c r="E14" s="232"/>
      <c r="F14" s="239"/>
      <c r="G14" s="239"/>
      <c r="H14" s="239"/>
      <c r="I14" s="30"/>
      <c r="N14" s="95"/>
      <c r="O14" s="95"/>
    </row>
    <row r="15" spans="1:15" ht="17.25" customHeight="1" thickBot="1"/>
    <row r="16" spans="1:15" ht="17.25" customHeight="1">
      <c r="C16" s="1666" t="s">
        <v>92</v>
      </c>
      <c r="D16" s="1667"/>
      <c r="E16" s="1667"/>
      <c r="F16" s="1667"/>
      <c r="G16" s="1667"/>
      <c r="H16" s="1667"/>
      <c r="I16" s="1668"/>
    </row>
    <row r="17" spans="1:9" ht="17.25" customHeight="1">
      <c r="C17" s="1658" t="s">
        <v>96</v>
      </c>
      <c r="D17" s="1659"/>
      <c r="E17" s="1660"/>
      <c r="F17" s="1661" t="s">
        <v>628</v>
      </c>
      <c r="G17" s="1661"/>
      <c r="H17" s="1661"/>
      <c r="I17" s="245"/>
    </row>
    <row r="18" spans="1:9" ht="17.25" customHeight="1">
      <c r="B18" t="s">
        <v>636</v>
      </c>
      <c r="C18" s="254" t="s">
        <v>630</v>
      </c>
      <c r="D18" s="255" t="s">
        <v>631</v>
      </c>
      <c r="E18" s="256" t="s">
        <v>632</v>
      </c>
      <c r="F18" s="614" t="s">
        <v>630</v>
      </c>
      <c r="G18" s="255" t="s">
        <v>631</v>
      </c>
      <c r="H18" s="257" t="s">
        <v>632</v>
      </c>
      <c r="I18" s="258" t="s">
        <v>633</v>
      </c>
    </row>
    <row r="19" spans="1:9" ht="17.25" customHeight="1">
      <c r="A19" s="31">
        <f>IF($D$9&lt;A18+1,"",A18+1)</f>
        <v>1</v>
      </c>
      <c r="B19" t="e">
        <f t="shared" ref="B19:B53" si="0">IF(A19="","",IF($D$9-A19&gt;=0,A19,""))</f>
        <v>#VALUE!</v>
      </c>
      <c r="C19" s="32" t="str">
        <f>IF(E12="","",IF(B19="","",ROUNDDOWN(-CUMIPMT($F$9/12,($D$9-B19+1)*12,E12*10000,1,12,0),0)))</f>
        <v/>
      </c>
      <c r="D19" s="33" t="str">
        <f>IF($E$12="","",IF(B19="","",ROUNDUP(-CUMPRINC($F$9/12,($D$9-B19+1)*12,E12*10000,1,12,0),0)))</f>
        <v/>
      </c>
      <c r="E19" s="34" t="str">
        <f>IF($E$12="","",IF(B19="","",IF(E12*10000-D19&lt;0,0,E12*10000-D19)))</f>
        <v/>
      </c>
      <c r="F19" s="35" t="str">
        <f>IF($E$13="","",IF(B19="","",ROUNDDOWN(-CUMIPMT($F$9/2,($D$9-B19+1)*2,$E$13*10000,1,2,0),0)))</f>
        <v/>
      </c>
      <c r="G19" s="33" t="str">
        <f>IF($E$13="","",IF(B19="","",ROUNDUP(-CUMPRINC($F$9/2,($D$9-B19+1)*2,E13*10000,1,2,0),0)))</f>
        <v/>
      </c>
      <c r="H19" s="36" t="str">
        <f>IF($E$13="","",IF(B19="","",IF(E13*10000-G19&lt;0,0,E13*10000-G19)))</f>
        <v/>
      </c>
      <c r="I19" s="37" t="str">
        <f>IF(E19="","",E19+IF(H19="",0,H19))</f>
        <v/>
      </c>
    </row>
    <row r="20" spans="1:9" ht="17.25" customHeight="1">
      <c r="A20" s="31">
        <f>IF(A19="","",IF($D$9&lt;A19+1,"",A19+1))</f>
        <v>2</v>
      </c>
      <c r="B20" t="e">
        <f t="shared" si="0"/>
        <v>#VALUE!</v>
      </c>
      <c r="C20" s="32" t="str">
        <f t="shared" ref="C20:C53" si="1">IF($E$12="","",IF(B20="","",ROUNDDOWN(-CUMIPMT($F$9/12,($D$9-B20+1)*12,E19,1,12,0),0)))</f>
        <v/>
      </c>
      <c r="D20" s="33" t="str">
        <f t="shared" ref="D20:D53" si="2">IF($E$12="","",IF(B20="","",ROUNDUP(-CUMPRINC($F$9/12,($D$9-B20+1)*12,E19,1,12,0),0)))</f>
        <v/>
      </c>
      <c r="E20" s="34" t="str">
        <f t="shared" ref="E20:E53" si="3">IF($E$12="","",IF(B20="","",IF(E19-D20&lt;0,0,E19-D20)))</f>
        <v/>
      </c>
      <c r="F20" s="35" t="str">
        <f t="shared" ref="F20:F53" si="4">IF($E$13="","",IF(B20="","",ROUNDDOWN(-CUMIPMT($F$9/2,($D$9-B20+1)*2,$H$19,1,2,0),0)))</f>
        <v/>
      </c>
      <c r="G20" s="33" t="str">
        <f t="shared" ref="G20:G53" si="5">IF($E$13="","",IF(B20="","",ROUNDUP(-CUMPRINC($F$9/2,($D$9-B20+1)*2,H19,1,2,0),0)))</f>
        <v/>
      </c>
      <c r="H20" s="36" t="str">
        <f t="shared" ref="H20:H53" si="6">IF($E$13="","",IF(B20="","",IF(H19-G20&lt;0,0,H19-G20)))</f>
        <v/>
      </c>
      <c r="I20" s="37" t="str">
        <f t="shared" ref="I20:I53" si="7">IF(E20="","",E20+IF(H20="",0,H20))</f>
        <v/>
      </c>
    </row>
    <row r="21" spans="1:9" ht="17.25" customHeight="1">
      <c r="A21" s="31">
        <f t="shared" ref="A21:A52" si="8">IF(A20="","",IF($D$9&lt;A20+1,"",A20+1))</f>
        <v>3</v>
      </c>
      <c r="B21" t="e">
        <f t="shared" si="0"/>
        <v>#VALUE!</v>
      </c>
      <c r="C21" s="32" t="str">
        <f t="shared" si="1"/>
        <v/>
      </c>
      <c r="D21" s="33" t="str">
        <f t="shared" si="2"/>
        <v/>
      </c>
      <c r="E21" s="34" t="str">
        <f t="shared" si="3"/>
        <v/>
      </c>
      <c r="F21" s="35" t="str">
        <f t="shared" si="4"/>
        <v/>
      </c>
      <c r="G21" s="33" t="str">
        <f t="shared" si="5"/>
        <v/>
      </c>
      <c r="H21" s="36" t="str">
        <f t="shared" si="6"/>
        <v/>
      </c>
      <c r="I21" s="37" t="str">
        <f t="shared" si="7"/>
        <v/>
      </c>
    </row>
    <row r="22" spans="1:9" ht="17.25" customHeight="1">
      <c r="A22" s="31">
        <f t="shared" si="8"/>
        <v>4</v>
      </c>
      <c r="B22" t="e">
        <f t="shared" si="0"/>
        <v>#VALUE!</v>
      </c>
      <c r="C22" s="32" t="str">
        <f t="shared" si="1"/>
        <v/>
      </c>
      <c r="D22" s="33" t="str">
        <f t="shared" si="2"/>
        <v/>
      </c>
      <c r="E22" s="34" t="str">
        <f t="shared" si="3"/>
        <v/>
      </c>
      <c r="F22" s="35" t="str">
        <f t="shared" si="4"/>
        <v/>
      </c>
      <c r="G22" s="33" t="str">
        <f t="shared" si="5"/>
        <v/>
      </c>
      <c r="H22" s="36" t="str">
        <f t="shared" si="6"/>
        <v/>
      </c>
      <c r="I22" s="37" t="str">
        <f t="shared" si="7"/>
        <v/>
      </c>
    </row>
    <row r="23" spans="1:9" ht="17.25" customHeight="1">
      <c r="A23" s="31">
        <f t="shared" si="8"/>
        <v>5</v>
      </c>
      <c r="B23" t="e">
        <f t="shared" si="0"/>
        <v>#VALUE!</v>
      </c>
      <c r="C23" s="39" t="str">
        <f t="shared" si="1"/>
        <v/>
      </c>
      <c r="D23" s="40" t="str">
        <f t="shared" si="2"/>
        <v/>
      </c>
      <c r="E23" s="41" t="str">
        <f t="shared" si="3"/>
        <v/>
      </c>
      <c r="F23" s="291" t="str">
        <f t="shared" si="4"/>
        <v/>
      </c>
      <c r="G23" s="40" t="str">
        <f t="shared" si="5"/>
        <v/>
      </c>
      <c r="H23" s="42" t="str">
        <f t="shared" si="6"/>
        <v/>
      </c>
      <c r="I23" s="603" t="str">
        <f t="shared" si="7"/>
        <v/>
      </c>
    </row>
    <row r="24" spans="1:9" ht="17.25" customHeight="1">
      <c r="A24" s="31">
        <f t="shared" si="8"/>
        <v>6</v>
      </c>
      <c r="B24" t="e">
        <f t="shared" si="0"/>
        <v>#VALUE!</v>
      </c>
      <c r="C24" s="32" t="str">
        <f t="shared" si="1"/>
        <v/>
      </c>
      <c r="D24" s="33" t="str">
        <f t="shared" si="2"/>
        <v/>
      </c>
      <c r="E24" s="34" t="str">
        <f t="shared" si="3"/>
        <v/>
      </c>
      <c r="F24" s="35" t="str">
        <f t="shared" si="4"/>
        <v/>
      </c>
      <c r="G24" s="33" t="str">
        <f t="shared" si="5"/>
        <v/>
      </c>
      <c r="H24" s="36" t="str">
        <f t="shared" si="6"/>
        <v/>
      </c>
      <c r="I24" s="43" t="str">
        <f t="shared" si="7"/>
        <v/>
      </c>
    </row>
    <row r="25" spans="1:9" ht="17.25" customHeight="1">
      <c r="A25" s="31">
        <f t="shared" si="8"/>
        <v>7</v>
      </c>
      <c r="B25" t="e">
        <f t="shared" si="0"/>
        <v>#VALUE!</v>
      </c>
      <c r="C25" s="32" t="str">
        <f t="shared" si="1"/>
        <v/>
      </c>
      <c r="D25" s="33" t="str">
        <f t="shared" si="2"/>
        <v/>
      </c>
      <c r="E25" s="34" t="str">
        <f t="shared" si="3"/>
        <v/>
      </c>
      <c r="F25" s="35" t="str">
        <f t="shared" si="4"/>
        <v/>
      </c>
      <c r="G25" s="33" t="str">
        <f t="shared" si="5"/>
        <v/>
      </c>
      <c r="H25" s="36" t="str">
        <f t="shared" si="6"/>
        <v/>
      </c>
      <c r="I25" s="37" t="str">
        <f t="shared" si="7"/>
        <v/>
      </c>
    </row>
    <row r="26" spans="1:9" ht="17.25" customHeight="1">
      <c r="A26" s="31">
        <f t="shared" si="8"/>
        <v>8</v>
      </c>
      <c r="B26" t="e">
        <f t="shared" si="0"/>
        <v>#VALUE!</v>
      </c>
      <c r="C26" s="32" t="str">
        <f t="shared" si="1"/>
        <v/>
      </c>
      <c r="D26" s="33" t="str">
        <f t="shared" si="2"/>
        <v/>
      </c>
      <c r="E26" s="34" t="str">
        <f t="shared" si="3"/>
        <v/>
      </c>
      <c r="F26" s="35" t="str">
        <f t="shared" si="4"/>
        <v/>
      </c>
      <c r="G26" s="33" t="str">
        <f t="shared" si="5"/>
        <v/>
      </c>
      <c r="H26" s="36" t="str">
        <f t="shared" si="6"/>
        <v/>
      </c>
      <c r="I26" s="37" t="str">
        <f t="shared" si="7"/>
        <v/>
      </c>
    </row>
    <row r="27" spans="1:9" ht="17.25" customHeight="1">
      <c r="A27" s="31">
        <f t="shared" si="8"/>
        <v>9</v>
      </c>
      <c r="B27" t="e">
        <f t="shared" si="0"/>
        <v>#VALUE!</v>
      </c>
      <c r="C27" s="32" t="str">
        <f t="shared" si="1"/>
        <v/>
      </c>
      <c r="D27" s="33" t="str">
        <f t="shared" si="2"/>
        <v/>
      </c>
      <c r="E27" s="34" t="str">
        <f t="shared" si="3"/>
        <v/>
      </c>
      <c r="F27" s="35" t="str">
        <f t="shared" si="4"/>
        <v/>
      </c>
      <c r="G27" s="33" t="str">
        <f t="shared" si="5"/>
        <v/>
      </c>
      <c r="H27" s="36" t="str">
        <f t="shared" si="6"/>
        <v/>
      </c>
      <c r="I27" s="37" t="str">
        <f t="shared" si="7"/>
        <v/>
      </c>
    </row>
    <row r="28" spans="1:9" ht="17.25" customHeight="1">
      <c r="A28" s="31">
        <f t="shared" si="8"/>
        <v>10</v>
      </c>
      <c r="B28" t="e">
        <f t="shared" si="0"/>
        <v>#VALUE!</v>
      </c>
      <c r="C28" s="39" t="str">
        <f t="shared" si="1"/>
        <v/>
      </c>
      <c r="D28" s="40" t="str">
        <f t="shared" si="2"/>
        <v/>
      </c>
      <c r="E28" s="41" t="str">
        <f t="shared" si="3"/>
        <v/>
      </c>
      <c r="F28" s="291" t="str">
        <f t="shared" si="4"/>
        <v/>
      </c>
      <c r="G28" s="40" t="str">
        <f t="shared" si="5"/>
        <v/>
      </c>
      <c r="H28" s="42" t="str">
        <f t="shared" si="6"/>
        <v/>
      </c>
      <c r="I28" s="603" t="str">
        <f t="shared" si="7"/>
        <v/>
      </c>
    </row>
    <row r="29" spans="1:9" ht="17.25" customHeight="1">
      <c r="A29" s="31">
        <f t="shared" si="8"/>
        <v>11</v>
      </c>
      <c r="B29" t="e">
        <f t="shared" si="0"/>
        <v>#VALUE!</v>
      </c>
      <c r="C29" s="32" t="str">
        <f t="shared" si="1"/>
        <v/>
      </c>
      <c r="D29" s="33" t="str">
        <f t="shared" si="2"/>
        <v/>
      </c>
      <c r="E29" s="34" t="str">
        <f t="shared" si="3"/>
        <v/>
      </c>
      <c r="F29" s="35" t="str">
        <f t="shared" si="4"/>
        <v/>
      </c>
      <c r="G29" s="33" t="str">
        <f t="shared" si="5"/>
        <v/>
      </c>
      <c r="H29" s="36" t="str">
        <f t="shared" si="6"/>
        <v/>
      </c>
      <c r="I29" s="43" t="str">
        <f t="shared" si="7"/>
        <v/>
      </c>
    </row>
    <row r="30" spans="1:9" ht="17.25" customHeight="1">
      <c r="A30" s="31">
        <f t="shared" si="8"/>
        <v>12</v>
      </c>
      <c r="B30" t="e">
        <f t="shared" si="0"/>
        <v>#VALUE!</v>
      </c>
      <c r="C30" s="32" t="str">
        <f t="shared" si="1"/>
        <v/>
      </c>
      <c r="D30" s="33" t="str">
        <f t="shared" si="2"/>
        <v/>
      </c>
      <c r="E30" s="34" t="str">
        <f t="shared" si="3"/>
        <v/>
      </c>
      <c r="F30" s="35" t="str">
        <f t="shared" si="4"/>
        <v/>
      </c>
      <c r="G30" s="33" t="str">
        <f t="shared" si="5"/>
        <v/>
      </c>
      <c r="H30" s="36" t="str">
        <f t="shared" si="6"/>
        <v/>
      </c>
      <c r="I30" s="37" t="str">
        <f t="shared" si="7"/>
        <v/>
      </c>
    </row>
    <row r="31" spans="1:9" ht="17.25" customHeight="1">
      <c r="A31" s="31">
        <f t="shared" si="8"/>
        <v>13</v>
      </c>
      <c r="B31" t="e">
        <f t="shared" si="0"/>
        <v>#VALUE!</v>
      </c>
      <c r="C31" s="32" t="str">
        <f t="shared" si="1"/>
        <v/>
      </c>
      <c r="D31" s="33" t="str">
        <f t="shared" si="2"/>
        <v/>
      </c>
      <c r="E31" s="34" t="str">
        <f t="shared" si="3"/>
        <v/>
      </c>
      <c r="F31" s="35" t="str">
        <f t="shared" si="4"/>
        <v/>
      </c>
      <c r="G31" s="33" t="str">
        <f t="shared" si="5"/>
        <v/>
      </c>
      <c r="H31" s="36" t="str">
        <f t="shared" si="6"/>
        <v/>
      </c>
      <c r="I31" s="37" t="str">
        <f t="shared" si="7"/>
        <v/>
      </c>
    </row>
    <row r="32" spans="1:9" ht="17.25" customHeight="1">
      <c r="A32" s="31">
        <f t="shared" si="8"/>
        <v>14</v>
      </c>
      <c r="B32" t="e">
        <f t="shared" si="0"/>
        <v>#VALUE!</v>
      </c>
      <c r="C32" s="32" t="str">
        <f t="shared" si="1"/>
        <v/>
      </c>
      <c r="D32" s="33" t="str">
        <f t="shared" si="2"/>
        <v/>
      </c>
      <c r="E32" s="34" t="str">
        <f t="shared" si="3"/>
        <v/>
      </c>
      <c r="F32" s="35" t="str">
        <f t="shared" si="4"/>
        <v/>
      </c>
      <c r="G32" s="33" t="str">
        <f t="shared" si="5"/>
        <v/>
      </c>
      <c r="H32" s="36" t="str">
        <f t="shared" si="6"/>
        <v/>
      </c>
      <c r="I32" s="37" t="str">
        <f t="shared" si="7"/>
        <v/>
      </c>
    </row>
    <row r="33" spans="1:9" ht="17.25" customHeight="1">
      <c r="A33" s="31">
        <f t="shared" si="8"/>
        <v>15</v>
      </c>
      <c r="B33" t="e">
        <f t="shared" si="0"/>
        <v>#VALUE!</v>
      </c>
      <c r="C33" s="39" t="str">
        <f t="shared" si="1"/>
        <v/>
      </c>
      <c r="D33" s="40" t="str">
        <f t="shared" si="2"/>
        <v/>
      </c>
      <c r="E33" s="41" t="str">
        <f t="shared" si="3"/>
        <v/>
      </c>
      <c r="F33" s="291" t="str">
        <f t="shared" si="4"/>
        <v/>
      </c>
      <c r="G33" s="40" t="str">
        <f t="shared" si="5"/>
        <v/>
      </c>
      <c r="H33" s="42" t="str">
        <f t="shared" si="6"/>
        <v/>
      </c>
      <c r="I33" s="603" t="str">
        <f t="shared" si="7"/>
        <v/>
      </c>
    </row>
    <row r="34" spans="1:9" ht="17.25" customHeight="1">
      <c r="A34" s="31">
        <f t="shared" si="8"/>
        <v>16</v>
      </c>
      <c r="B34" t="e">
        <f t="shared" si="0"/>
        <v>#VALUE!</v>
      </c>
      <c r="C34" s="32" t="str">
        <f t="shared" si="1"/>
        <v/>
      </c>
      <c r="D34" s="33" t="str">
        <f t="shared" si="2"/>
        <v/>
      </c>
      <c r="E34" s="34" t="str">
        <f t="shared" si="3"/>
        <v/>
      </c>
      <c r="F34" s="35" t="str">
        <f t="shared" si="4"/>
        <v/>
      </c>
      <c r="G34" s="33" t="str">
        <f t="shared" si="5"/>
        <v/>
      </c>
      <c r="H34" s="36" t="str">
        <f t="shared" si="6"/>
        <v/>
      </c>
      <c r="I34" s="43" t="str">
        <f t="shared" si="7"/>
        <v/>
      </c>
    </row>
    <row r="35" spans="1:9" ht="17.25" customHeight="1">
      <c r="A35" s="31">
        <f t="shared" si="8"/>
        <v>17</v>
      </c>
      <c r="B35" t="e">
        <f t="shared" si="0"/>
        <v>#VALUE!</v>
      </c>
      <c r="C35" s="32" t="str">
        <f t="shared" si="1"/>
        <v/>
      </c>
      <c r="D35" s="33" t="str">
        <f t="shared" si="2"/>
        <v/>
      </c>
      <c r="E35" s="34" t="str">
        <f t="shared" si="3"/>
        <v/>
      </c>
      <c r="F35" s="35" t="str">
        <f t="shared" si="4"/>
        <v/>
      </c>
      <c r="G35" s="33" t="str">
        <f t="shared" si="5"/>
        <v/>
      </c>
      <c r="H35" s="36" t="str">
        <f t="shared" si="6"/>
        <v/>
      </c>
      <c r="I35" s="37" t="str">
        <f t="shared" si="7"/>
        <v/>
      </c>
    </row>
    <row r="36" spans="1:9" ht="17.25" customHeight="1">
      <c r="A36" s="31">
        <f t="shared" si="8"/>
        <v>18</v>
      </c>
      <c r="B36" t="e">
        <f t="shared" si="0"/>
        <v>#VALUE!</v>
      </c>
      <c r="C36" s="32" t="str">
        <f t="shared" si="1"/>
        <v/>
      </c>
      <c r="D36" s="33" t="str">
        <f t="shared" si="2"/>
        <v/>
      </c>
      <c r="E36" s="34" t="str">
        <f t="shared" si="3"/>
        <v/>
      </c>
      <c r="F36" s="35" t="str">
        <f t="shared" si="4"/>
        <v/>
      </c>
      <c r="G36" s="33" t="str">
        <f t="shared" si="5"/>
        <v/>
      </c>
      <c r="H36" s="36" t="str">
        <f t="shared" si="6"/>
        <v/>
      </c>
      <c r="I36" s="37" t="str">
        <f t="shared" si="7"/>
        <v/>
      </c>
    </row>
    <row r="37" spans="1:9" ht="17.25" customHeight="1">
      <c r="A37" s="31">
        <f t="shared" si="8"/>
        <v>19</v>
      </c>
      <c r="B37" t="e">
        <f t="shared" si="0"/>
        <v>#VALUE!</v>
      </c>
      <c r="C37" s="32" t="str">
        <f t="shared" si="1"/>
        <v/>
      </c>
      <c r="D37" s="33" t="str">
        <f t="shared" si="2"/>
        <v/>
      </c>
      <c r="E37" s="34" t="str">
        <f t="shared" si="3"/>
        <v/>
      </c>
      <c r="F37" s="35" t="str">
        <f t="shared" si="4"/>
        <v/>
      </c>
      <c r="G37" s="33" t="str">
        <f t="shared" si="5"/>
        <v/>
      </c>
      <c r="H37" s="36" t="str">
        <f t="shared" si="6"/>
        <v/>
      </c>
      <c r="I37" s="37" t="str">
        <f t="shared" si="7"/>
        <v/>
      </c>
    </row>
    <row r="38" spans="1:9" ht="17.25" customHeight="1">
      <c r="A38" s="31">
        <f t="shared" si="8"/>
        <v>20</v>
      </c>
      <c r="B38" t="e">
        <f t="shared" si="0"/>
        <v>#VALUE!</v>
      </c>
      <c r="C38" s="39" t="str">
        <f t="shared" si="1"/>
        <v/>
      </c>
      <c r="D38" s="40" t="str">
        <f t="shared" si="2"/>
        <v/>
      </c>
      <c r="E38" s="41" t="str">
        <f t="shared" si="3"/>
        <v/>
      </c>
      <c r="F38" s="291" t="str">
        <f t="shared" si="4"/>
        <v/>
      </c>
      <c r="G38" s="40" t="str">
        <f t="shared" si="5"/>
        <v/>
      </c>
      <c r="H38" s="42" t="str">
        <f t="shared" si="6"/>
        <v/>
      </c>
      <c r="I38" s="603" t="str">
        <f t="shared" si="7"/>
        <v/>
      </c>
    </row>
    <row r="39" spans="1:9" ht="17.25" customHeight="1">
      <c r="A39" s="31">
        <f t="shared" si="8"/>
        <v>21</v>
      </c>
      <c r="B39" t="e">
        <f t="shared" si="0"/>
        <v>#VALUE!</v>
      </c>
      <c r="C39" s="32" t="str">
        <f t="shared" si="1"/>
        <v/>
      </c>
      <c r="D39" s="33" t="str">
        <f t="shared" si="2"/>
        <v/>
      </c>
      <c r="E39" s="34" t="str">
        <f t="shared" si="3"/>
        <v/>
      </c>
      <c r="F39" s="35" t="str">
        <f t="shared" si="4"/>
        <v/>
      </c>
      <c r="G39" s="33" t="str">
        <f t="shared" si="5"/>
        <v/>
      </c>
      <c r="H39" s="36" t="str">
        <f t="shared" si="6"/>
        <v/>
      </c>
      <c r="I39" s="43" t="str">
        <f t="shared" si="7"/>
        <v/>
      </c>
    </row>
    <row r="40" spans="1:9" ht="17.25" customHeight="1">
      <c r="A40" s="31">
        <f t="shared" si="8"/>
        <v>22</v>
      </c>
      <c r="B40" t="e">
        <f t="shared" si="0"/>
        <v>#VALUE!</v>
      </c>
      <c r="C40" s="32" t="str">
        <f t="shared" si="1"/>
        <v/>
      </c>
      <c r="D40" s="33" t="str">
        <f t="shared" si="2"/>
        <v/>
      </c>
      <c r="E40" s="34" t="str">
        <f t="shared" si="3"/>
        <v/>
      </c>
      <c r="F40" s="35" t="str">
        <f t="shared" si="4"/>
        <v/>
      </c>
      <c r="G40" s="33" t="str">
        <f t="shared" si="5"/>
        <v/>
      </c>
      <c r="H40" s="36" t="str">
        <f t="shared" si="6"/>
        <v/>
      </c>
      <c r="I40" s="37" t="str">
        <f t="shared" si="7"/>
        <v/>
      </c>
    </row>
    <row r="41" spans="1:9" ht="17.25" customHeight="1">
      <c r="A41" s="31">
        <f t="shared" si="8"/>
        <v>23</v>
      </c>
      <c r="B41" t="e">
        <f t="shared" si="0"/>
        <v>#VALUE!</v>
      </c>
      <c r="C41" s="32" t="str">
        <f t="shared" si="1"/>
        <v/>
      </c>
      <c r="D41" s="33" t="str">
        <f t="shared" si="2"/>
        <v/>
      </c>
      <c r="E41" s="34" t="str">
        <f t="shared" si="3"/>
        <v/>
      </c>
      <c r="F41" s="35" t="str">
        <f t="shared" si="4"/>
        <v/>
      </c>
      <c r="G41" s="33" t="str">
        <f t="shared" si="5"/>
        <v/>
      </c>
      <c r="H41" s="36" t="str">
        <f t="shared" si="6"/>
        <v/>
      </c>
      <c r="I41" s="37" t="str">
        <f t="shared" si="7"/>
        <v/>
      </c>
    </row>
    <row r="42" spans="1:9" ht="17.25" customHeight="1">
      <c r="A42" s="31">
        <f t="shared" si="8"/>
        <v>24</v>
      </c>
      <c r="B42" t="e">
        <f t="shared" si="0"/>
        <v>#VALUE!</v>
      </c>
      <c r="C42" s="32" t="str">
        <f t="shared" si="1"/>
        <v/>
      </c>
      <c r="D42" s="33" t="str">
        <f t="shared" si="2"/>
        <v/>
      </c>
      <c r="E42" s="34" t="str">
        <f t="shared" si="3"/>
        <v/>
      </c>
      <c r="F42" s="35" t="str">
        <f t="shared" si="4"/>
        <v/>
      </c>
      <c r="G42" s="33" t="str">
        <f t="shared" si="5"/>
        <v/>
      </c>
      <c r="H42" s="36" t="str">
        <f t="shared" si="6"/>
        <v/>
      </c>
      <c r="I42" s="37" t="str">
        <f t="shared" si="7"/>
        <v/>
      </c>
    </row>
    <row r="43" spans="1:9" ht="17.25" customHeight="1">
      <c r="A43" s="31">
        <f t="shared" si="8"/>
        <v>25</v>
      </c>
      <c r="B43" t="e">
        <f t="shared" si="0"/>
        <v>#VALUE!</v>
      </c>
      <c r="C43" s="39" t="str">
        <f t="shared" si="1"/>
        <v/>
      </c>
      <c r="D43" s="40" t="str">
        <f t="shared" si="2"/>
        <v/>
      </c>
      <c r="E43" s="41" t="str">
        <f t="shared" si="3"/>
        <v/>
      </c>
      <c r="F43" s="291" t="str">
        <f t="shared" si="4"/>
        <v/>
      </c>
      <c r="G43" s="40" t="str">
        <f t="shared" si="5"/>
        <v/>
      </c>
      <c r="H43" s="42" t="str">
        <f t="shared" si="6"/>
        <v/>
      </c>
      <c r="I43" s="603" t="str">
        <f t="shared" si="7"/>
        <v/>
      </c>
    </row>
    <row r="44" spans="1:9" ht="17.25" customHeight="1">
      <c r="A44" s="31">
        <f t="shared" si="8"/>
        <v>26</v>
      </c>
      <c r="B44" t="e">
        <f t="shared" si="0"/>
        <v>#VALUE!</v>
      </c>
      <c r="C44" s="32" t="str">
        <f t="shared" si="1"/>
        <v/>
      </c>
      <c r="D44" s="33" t="str">
        <f t="shared" si="2"/>
        <v/>
      </c>
      <c r="E44" s="34" t="str">
        <f t="shared" si="3"/>
        <v/>
      </c>
      <c r="F44" s="35" t="str">
        <f t="shared" si="4"/>
        <v/>
      </c>
      <c r="G44" s="33" t="str">
        <f t="shared" si="5"/>
        <v/>
      </c>
      <c r="H44" s="36" t="str">
        <f t="shared" si="6"/>
        <v/>
      </c>
      <c r="I44" s="43" t="str">
        <f t="shared" si="7"/>
        <v/>
      </c>
    </row>
    <row r="45" spans="1:9" ht="17.25" customHeight="1">
      <c r="A45" s="31">
        <f t="shared" si="8"/>
        <v>27</v>
      </c>
      <c r="B45" t="e">
        <f t="shared" si="0"/>
        <v>#VALUE!</v>
      </c>
      <c r="C45" s="32" t="str">
        <f t="shared" si="1"/>
        <v/>
      </c>
      <c r="D45" s="33" t="str">
        <f t="shared" si="2"/>
        <v/>
      </c>
      <c r="E45" s="34" t="str">
        <f t="shared" si="3"/>
        <v/>
      </c>
      <c r="F45" s="35" t="str">
        <f t="shared" si="4"/>
        <v/>
      </c>
      <c r="G45" s="33" t="str">
        <f t="shared" si="5"/>
        <v/>
      </c>
      <c r="H45" s="36" t="str">
        <f t="shared" si="6"/>
        <v/>
      </c>
      <c r="I45" s="37" t="str">
        <f t="shared" si="7"/>
        <v/>
      </c>
    </row>
    <row r="46" spans="1:9" ht="17.25" customHeight="1">
      <c r="A46" s="31">
        <f t="shared" si="8"/>
        <v>28</v>
      </c>
      <c r="B46" t="e">
        <f t="shared" si="0"/>
        <v>#VALUE!</v>
      </c>
      <c r="C46" s="32" t="str">
        <f t="shared" si="1"/>
        <v/>
      </c>
      <c r="D46" s="33" t="str">
        <f t="shared" si="2"/>
        <v/>
      </c>
      <c r="E46" s="34" t="str">
        <f t="shared" si="3"/>
        <v/>
      </c>
      <c r="F46" s="35" t="str">
        <f t="shared" si="4"/>
        <v/>
      </c>
      <c r="G46" s="33" t="str">
        <f t="shared" si="5"/>
        <v/>
      </c>
      <c r="H46" s="36" t="str">
        <f t="shared" si="6"/>
        <v/>
      </c>
      <c r="I46" s="37" t="str">
        <f t="shared" si="7"/>
        <v/>
      </c>
    </row>
    <row r="47" spans="1:9" ht="17.25" customHeight="1">
      <c r="A47" s="31">
        <f t="shared" si="8"/>
        <v>29</v>
      </c>
      <c r="B47" t="e">
        <f t="shared" si="0"/>
        <v>#VALUE!</v>
      </c>
      <c r="C47" s="32" t="str">
        <f t="shared" si="1"/>
        <v/>
      </c>
      <c r="D47" s="33" t="str">
        <f t="shared" si="2"/>
        <v/>
      </c>
      <c r="E47" s="34" t="str">
        <f t="shared" si="3"/>
        <v/>
      </c>
      <c r="F47" s="35" t="str">
        <f t="shared" si="4"/>
        <v/>
      </c>
      <c r="G47" s="33" t="str">
        <f t="shared" si="5"/>
        <v/>
      </c>
      <c r="H47" s="36" t="str">
        <f t="shared" si="6"/>
        <v/>
      </c>
      <c r="I47" s="37" t="str">
        <f t="shared" si="7"/>
        <v/>
      </c>
    </row>
    <row r="48" spans="1:9" ht="17.25" customHeight="1">
      <c r="A48" s="31">
        <f t="shared" si="8"/>
        <v>30</v>
      </c>
      <c r="B48" t="e">
        <f t="shared" si="0"/>
        <v>#VALUE!</v>
      </c>
      <c r="C48" s="39" t="str">
        <f t="shared" si="1"/>
        <v/>
      </c>
      <c r="D48" s="40" t="str">
        <f t="shared" si="2"/>
        <v/>
      </c>
      <c r="E48" s="41" t="str">
        <f t="shared" si="3"/>
        <v/>
      </c>
      <c r="F48" s="291" t="str">
        <f t="shared" si="4"/>
        <v/>
      </c>
      <c r="G48" s="40" t="str">
        <f t="shared" si="5"/>
        <v/>
      </c>
      <c r="H48" s="42" t="str">
        <f t="shared" si="6"/>
        <v/>
      </c>
      <c r="I48" s="603" t="str">
        <f t="shared" si="7"/>
        <v/>
      </c>
    </row>
    <row r="49" spans="1:9" ht="17.25" customHeight="1">
      <c r="A49" s="31">
        <f t="shared" si="8"/>
        <v>31</v>
      </c>
      <c r="B49" t="e">
        <f t="shared" si="0"/>
        <v>#VALUE!</v>
      </c>
      <c r="C49" s="236" t="str">
        <f t="shared" si="1"/>
        <v/>
      </c>
      <c r="D49" s="45" t="str">
        <f t="shared" si="2"/>
        <v/>
      </c>
      <c r="E49" s="46" t="str">
        <f t="shared" si="3"/>
        <v/>
      </c>
      <c r="F49" s="44" t="str">
        <f t="shared" si="4"/>
        <v/>
      </c>
      <c r="G49" s="45" t="str">
        <f t="shared" si="5"/>
        <v/>
      </c>
      <c r="H49" s="47" t="str">
        <f t="shared" si="6"/>
        <v/>
      </c>
      <c r="I49" s="43" t="str">
        <f t="shared" si="7"/>
        <v/>
      </c>
    </row>
    <row r="50" spans="1:9" ht="17.25" customHeight="1">
      <c r="A50" s="31">
        <f t="shared" si="8"/>
        <v>32</v>
      </c>
      <c r="B50" t="e">
        <f t="shared" si="0"/>
        <v>#VALUE!</v>
      </c>
      <c r="C50" s="32" t="str">
        <f t="shared" si="1"/>
        <v/>
      </c>
      <c r="D50" s="33" t="str">
        <f t="shared" si="2"/>
        <v/>
      </c>
      <c r="E50" s="34" t="str">
        <f t="shared" si="3"/>
        <v/>
      </c>
      <c r="F50" s="35" t="str">
        <f t="shared" si="4"/>
        <v/>
      </c>
      <c r="G50" s="33" t="str">
        <f t="shared" si="5"/>
        <v/>
      </c>
      <c r="H50" s="36" t="str">
        <f t="shared" si="6"/>
        <v/>
      </c>
      <c r="I50" s="37" t="str">
        <f t="shared" si="7"/>
        <v/>
      </c>
    </row>
    <row r="51" spans="1:9" ht="17.25" customHeight="1">
      <c r="A51" s="31">
        <f t="shared" si="8"/>
        <v>33</v>
      </c>
      <c r="B51" t="e">
        <f t="shared" si="0"/>
        <v>#VALUE!</v>
      </c>
      <c r="C51" s="32" t="str">
        <f t="shared" si="1"/>
        <v/>
      </c>
      <c r="D51" s="33" t="str">
        <f t="shared" si="2"/>
        <v/>
      </c>
      <c r="E51" s="34" t="str">
        <f t="shared" si="3"/>
        <v/>
      </c>
      <c r="F51" s="35" t="str">
        <f t="shared" si="4"/>
        <v/>
      </c>
      <c r="G51" s="33" t="str">
        <f t="shared" si="5"/>
        <v/>
      </c>
      <c r="H51" s="36" t="str">
        <f t="shared" si="6"/>
        <v/>
      </c>
      <c r="I51" s="37" t="str">
        <f t="shared" si="7"/>
        <v/>
      </c>
    </row>
    <row r="52" spans="1:9" ht="17.25" customHeight="1">
      <c r="A52" s="31">
        <f t="shared" si="8"/>
        <v>34</v>
      </c>
      <c r="B52" t="e">
        <f t="shared" si="0"/>
        <v>#VALUE!</v>
      </c>
      <c r="C52" s="32" t="str">
        <f t="shared" si="1"/>
        <v/>
      </c>
      <c r="D52" s="33" t="str">
        <f t="shared" si="2"/>
        <v/>
      </c>
      <c r="E52" s="34" t="str">
        <f t="shared" si="3"/>
        <v/>
      </c>
      <c r="F52" s="35" t="str">
        <f t="shared" si="4"/>
        <v/>
      </c>
      <c r="G52" s="33" t="str">
        <f t="shared" si="5"/>
        <v/>
      </c>
      <c r="H52" s="36" t="str">
        <f t="shared" si="6"/>
        <v/>
      </c>
      <c r="I52" s="37" t="str">
        <f t="shared" si="7"/>
        <v/>
      </c>
    </row>
    <row r="53" spans="1:9" ht="17.25" customHeight="1" thickBot="1">
      <c r="A53" s="31">
        <f>IF(A52="","",IF($D$9&lt;A52+1,"",A52+1))</f>
        <v>35</v>
      </c>
      <c r="B53" t="e">
        <f t="shared" si="0"/>
        <v>#VALUE!</v>
      </c>
      <c r="C53" s="107" t="str">
        <f t="shared" si="1"/>
        <v/>
      </c>
      <c r="D53" s="49" t="str">
        <f t="shared" si="2"/>
        <v/>
      </c>
      <c r="E53" s="50" t="str">
        <f t="shared" si="3"/>
        <v/>
      </c>
      <c r="F53" s="48" t="str">
        <f t="shared" si="4"/>
        <v/>
      </c>
      <c r="G53" s="49" t="str">
        <f t="shared" si="5"/>
        <v/>
      </c>
      <c r="H53" s="51" t="str">
        <f t="shared" si="6"/>
        <v/>
      </c>
      <c r="I53" s="52" t="str">
        <f t="shared" si="7"/>
        <v/>
      </c>
    </row>
  </sheetData>
  <sheetProtection algorithmName="SHA-512" hashValue="qyggu9vaJre07Z5mwj15as2UPgtMJW7Ut+URebPdVEojD+t4S8W38eSuZBrB7EXyW45pOpgex/N/vnMl1FaadQ==" saltValue="XNjE/b+DxmvkPn7FazYCNw==" spinCount="100000" sheet="1" selectLockedCells="1"/>
  <mergeCells count="20">
    <mergeCell ref="C17:E17"/>
    <mergeCell ref="F17:H17"/>
    <mergeCell ref="A5:C5"/>
    <mergeCell ref="E5:F5"/>
    <mergeCell ref="F8:H8"/>
    <mergeCell ref="D9:D10"/>
    <mergeCell ref="F9:H10"/>
    <mergeCell ref="F11:H11"/>
    <mergeCell ref="C12:D12"/>
    <mergeCell ref="F12:H12"/>
    <mergeCell ref="C13:D13"/>
    <mergeCell ref="F13:H13"/>
    <mergeCell ref="C16:I16"/>
    <mergeCell ref="I7:I13"/>
    <mergeCell ref="D2:E2"/>
    <mergeCell ref="F2:G2"/>
    <mergeCell ref="H2:I2"/>
    <mergeCell ref="D3:E3"/>
    <mergeCell ref="F3:G3"/>
    <mergeCell ref="H3:I3"/>
  </mergeCells>
  <phoneticPr fontId="8"/>
  <conditionalFormatting sqref="D2:E2">
    <cfRule type="cellIs" dxfId="4" priority="5" operator="notEqual">
      <formula>0</formula>
    </cfRule>
  </conditionalFormatting>
  <conditionalFormatting sqref="D3:E3">
    <cfRule type="cellIs" dxfId="3" priority="4" operator="notEqual">
      <formula>0</formula>
    </cfRule>
  </conditionalFormatting>
  <conditionalFormatting sqref="F2:G2">
    <cfRule type="cellIs" dxfId="2" priority="3" operator="notEqual">
      <formula>0</formula>
    </cfRule>
  </conditionalFormatting>
  <conditionalFormatting sqref="F3:G3">
    <cfRule type="cellIs" dxfId="1" priority="2" operator="notEqual">
      <formula>0</formula>
    </cfRule>
  </conditionalFormatting>
  <conditionalFormatting sqref="H2:I2">
    <cfRule type="cellIs" dxfId="0" priority="1" operator="notEqual">
      <formula>0</formula>
    </cfRule>
  </conditionalFormatting>
  <hyperlinks>
    <hyperlink ref="D2:E2" location="フラット３５元利均等償還表!A1" display="フラット３５元利均等償還表!A1" xr:uid="{00000000-0004-0000-0B00-000000000000}"/>
    <hyperlink ref="D3:E3" location="フラット３５元金均等償還表!A1" display="フラット３５元金均等償還表!A1" xr:uid="{00000000-0004-0000-0B00-000001000000}"/>
    <hyperlink ref="F2:G2" location="ベストミックス償還表!A1" display="ベストミックス償還表!A1" xr:uid="{00000000-0004-0000-0B00-000002000000}"/>
    <hyperlink ref="F3:G3" location="アプラス償還表!A1" display="アプラス償還表!A1" xr:uid="{00000000-0004-0000-0B00-000003000000}"/>
    <hyperlink ref="H2:I2" location="アプラスワイド償還表!A1" display="アプラスワイド償還表!A1" xr:uid="{00000000-0004-0000-0B00-000004000000}"/>
  </hyperlinks>
  <printOptions verticalCentered="1"/>
  <pageMargins left="0.31496062992125984" right="0.31496062992125984" top="0.35433070866141736"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S21"/>
  <sheetViews>
    <sheetView workbookViewId="0">
      <selection activeCell="B21" sqref="B21"/>
    </sheetView>
  </sheetViews>
  <sheetFormatPr defaultColWidth="4.625" defaultRowHeight="15" customHeight="1"/>
  <cols>
    <col min="1" max="1" width="9" customWidth="1"/>
    <col min="5" max="5" width="15.375" bestFit="1" customWidth="1"/>
  </cols>
  <sheetData>
    <row r="1" spans="1:19" ht="15" customHeight="1">
      <c r="A1" s="9" t="s">
        <v>637</v>
      </c>
      <c r="B1" t="s">
        <v>638</v>
      </c>
    </row>
    <row r="2" spans="1:19" ht="15" customHeight="1">
      <c r="A2" s="9"/>
    </row>
    <row r="3" spans="1:19" ht="15" customHeight="1">
      <c r="B3" s="1669" t="s">
        <v>639</v>
      </c>
      <c r="C3" s="1669"/>
      <c r="D3" s="1669"/>
      <c r="E3" s="1669" t="s">
        <v>640</v>
      </c>
      <c r="F3" s="1669"/>
      <c r="G3" s="1669"/>
      <c r="H3" s="1669" t="s">
        <v>641</v>
      </c>
      <c r="I3" s="1669"/>
      <c r="J3" s="1669"/>
      <c r="K3" s="1669"/>
      <c r="L3" s="1669"/>
      <c r="M3" s="1669"/>
      <c r="N3" s="1669"/>
      <c r="O3" s="1669"/>
      <c r="P3" s="1669"/>
      <c r="Q3" s="1669"/>
      <c r="R3" s="1669"/>
      <c r="S3" s="1669"/>
    </row>
    <row r="4" spans="1:19" ht="15" customHeight="1">
      <c r="B4" t="s">
        <v>642</v>
      </c>
      <c r="E4" t="s">
        <v>643</v>
      </c>
      <c r="H4" s="9" t="s">
        <v>644</v>
      </c>
      <c r="I4" t="s">
        <v>645</v>
      </c>
    </row>
    <row r="5" spans="1:19" ht="15" customHeight="1">
      <c r="H5" s="9" t="s">
        <v>644</v>
      </c>
      <c r="I5" t="s">
        <v>646</v>
      </c>
    </row>
    <row r="6" spans="1:19" ht="15" customHeight="1">
      <c r="B6" t="s">
        <v>647</v>
      </c>
      <c r="E6" s="14">
        <v>39820</v>
      </c>
      <c r="H6" s="9" t="s">
        <v>644</v>
      </c>
      <c r="I6" t="s">
        <v>648</v>
      </c>
    </row>
    <row r="7" spans="1:19" ht="15" customHeight="1">
      <c r="E7" s="14"/>
      <c r="H7" s="9" t="s">
        <v>644</v>
      </c>
      <c r="I7" t="s">
        <v>649</v>
      </c>
    </row>
    <row r="8" spans="1:19" ht="15" customHeight="1">
      <c r="H8" s="9" t="s">
        <v>644</v>
      </c>
      <c r="I8" t="s">
        <v>650</v>
      </c>
    </row>
    <row r="9" spans="1:19" ht="15" customHeight="1">
      <c r="H9" s="9" t="s">
        <v>644</v>
      </c>
      <c r="I9" t="s">
        <v>651</v>
      </c>
    </row>
    <row r="10" spans="1:19" ht="15" customHeight="1">
      <c r="B10" t="s">
        <v>652</v>
      </c>
      <c r="E10" s="15">
        <v>39896</v>
      </c>
      <c r="H10" s="9" t="s">
        <v>644</v>
      </c>
      <c r="I10" t="s">
        <v>653</v>
      </c>
    </row>
    <row r="11" spans="1:19" ht="15" customHeight="1">
      <c r="B11" t="s">
        <v>654</v>
      </c>
      <c r="E11" s="15">
        <v>39918</v>
      </c>
      <c r="H11" s="9" t="s">
        <v>644</v>
      </c>
      <c r="I11" t="s">
        <v>655</v>
      </c>
    </row>
    <row r="13" spans="1:19" ht="15" customHeight="1">
      <c r="B13" t="s">
        <v>656</v>
      </c>
      <c r="E13" s="15">
        <v>39981</v>
      </c>
      <c r="H13" s="9" t="s">
        <v>644</v>
      </c>
      <c r="I13" t="s">
        <v>657</v>
      </c>
    </row>
    <row r="14" spans="1:19" ht="15" customHeight="1">
      <c r="H14" s="9" t="s">
        <v>644</v>
      </c>
      <c r="I14" t="s">
        <v>658</v>
      </c>
    </row>
    <row r="15" spans="1:19" ht="15" customHeight="1">
      <c r="I15" t="s">
        <v>659</v>
      </c>
    </row>
    <row r="16" spans="1:19" ht="15" customHeight="1">
      <c r="H16" s="9" t="s">
        <v>644</v>
      </c>
      <c r="I16" t="s">
        <v>660</v>
      </c>
    </row>
    <row r="17" spans="2:9" ht="15" customHeight="1">
      <c r="E17" s="15">
        <v>40024</v>
      </c>
      <c r="H17" s="9" t="s">
        <v>644</v>
      </c>
      <c r="I17" t="s">
        <v>661</v>
      </c>
    </row>
    <row r="18" spans="2:9" ht="15" customHeight="1">
      <c r="B18" t="s">
        <v>662</v>
      </c>
      <c r="E18" s="15">
        <v>40092</v>
      </c>
      <c r="H18" s="9" t="s">
        <v>644</v>
      </c>
      <c r="I18" t="s">
        <v>663</v>
      </c>
    </row>
    <row r="19" spans="2:9" ht="15" customHeight="1">
      <c r="H19" s="9" t="s">
        <v>644</v>
      </c>
      <c r="I19" t="s">
        <v>664</v>
      </c>
    </row>
    <row r="20" spans="2:9" ht="15" customHeight="1">
      <c r="B20" t="s">
        <v>665</v>
      </c>
      <c r="E20" s="15">
        <v>40122</v>
      </c>
      <c r="H20" s="9" t="s">
        <v>644</v>
      </c>
      <c r="I20" t="s">
        <v>666</v>
      </c>
    </row>
    <row r="21" spans="2:9" ht="15" customHeight="1">
      <c r="B21" t="s">
        <v>667</v>
      </c>
      <c r="E21" s="15">
        <v>40171</v>
      </c>
      <c r="H21" s="9" t="s">
        <v>644</v>
      </c>
      <c r="I21" t="s">
        <v>668</v>
      </c>
    </row>
  </sheetData>
  <mergeCells count="3">
    <mergeCell ref="E3:G3"/>
    <mergeCell ref="H3:S3"/>
    <mergeCell ref="B3:D3"/>
  </mergeCells>
  <phoneticPr fontId="8"/>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6148" r:id="rId4">
          <objectPr defaultSize="0" r:id="rId5">
            <anchor moveWithCells="1">
              <from>
                <xdr:col>0</xdr:col>
                <xdr:colOff>342900</xdr:colOff>
                <xdr:row>21</xdr:row>
                <xdr:rowOff>161925</xdr:rowOff>
              </from>
              <to>
                <xdr:col>22</xdr:col>
                <xdr:colOff>114300</xdr:colOff>
                <xdr:row>41</xdr:row>
                <xdr:rowOff>9525</xdr:rowOff>
              </to>
            </anchor>
          </objectPr>
        </oleObject>
      </mc:Choice>
      <mc:Fallback>
        <oleObject progId="Word.Document.12" shapeId="614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S204"/>
  <sheetViews>
    <sheetView zoomScale="87" zoomScaleNormal="87" workbookViewId="0">
      <pane ySplit="3" topLeftCell="A4" activePane="bottomLeft" state="frozen"/>
      <selection pane="bottomLeft" activeCell="D10" sqref="D10"/>
    </sheetView>
  </sheetViews>
  <sheetFormatPr defaultRowHeight="15" customHeight="1"/>
  <cols>
    <col min="1" max="1" width="3.75" customWidth="1"/>
    <col min="2" max="2" width="23.375" bestFit="1" customWidth="1"/>
    <col min="3" max="3" width="9.875" bestFit="1" customWidth="1"/>
    <col min="5" max="5" width="5" customWidth="1"/>
    <col min="6" max="6" width="3.75" customWidth="1"/>
    <col min="7" max="7" width="20.375" bestFit="1" customWidth="1"/>
    <col min="8" max="8" width="15.375" bestFit="1" customWidth="1"/>
    <col min="10" max="10" width="5" customWidth="1"/>
    <col min="11" max="11" width="3.75" customWidth="1"/>
    <col min="12" max="12" width="18.125" customWidth="1"/>
    <col min="13" max="13" width="13.875" customWidth="1"/>
    <col min="15" max="15" width="5" customWidth="1"/>
    <col min="16" max="16" width="3.75" customWidth="1"/>
    <col min="18" max="18" width="15.75" bestFit="1" customWidth="1"/>
  </cols>
  <sheetData>
    <row r="1" spans="1:19" ht="15" customHeight="1">
      <c r="B1" s="1204" t="s">
        <v>143</v>
      </c>
      <c r="C1" s="1204"/>
      <c r="D1" s="1204"/>
      <c r="E1" s="1204"/>
      <c r="F1" s="1204"/>
      <c r="G1" s="1204"/>
    </row>
    <row r="2" spans="1:19" ht="15" customHeight="1">
      <c r="B2" s="1205" t="s">
        <v>144</v>
      </c>
      <c r="C2" s="1205"/>
      <c r="D2" s="1205"/>
      <c r="E2" s="1205"/>
      <c r="F2" s="1205"/>
      <c r="G2" s="1205"/>
    </row>
    <row r="3" spans="1:19" ht="15" customHeight="1">
      <c r="B3" s="1206" t="s">
        <v>145</v>
      </c>
      <c r="C3" s="1206"/>
      <c r="D3" s="1206"/>
      <c r="E3" s="1206"/>
      <c r="F3" s="1206"/>
      <c r="G3" s="1206"/>
    </row>
    <row r="5" spans="1:19" ht="15" customHeight="1">
      <c r="A5" s="1199" t="s">
        <v>146</v>
      </c>
      <c r="B5" s="1200"/>
      <c r="C5" s="1200"/>
      <c r="D5" s="1200"/>
      <c r="E5" s="1200"/>
      <c r="F5" s="1200"/>
      <c r="G5" s="1200"/>
      <c r="H5" s="1200"/>
      <c r="I5" s="1200"/>
      <c r="J5" s="1200"/>
      <c r="K5" s="1200"/>
      <c r="L5" s="1200"/>
      <c r="M5" s="1200"/>
      <c r="N5" s="1201"/>
      <c r="P5" s="1208">
        <v>44652</v>
      </c>
      <c r="Q5" s="1209"/>
      <c r="R5" s="1209"/>
      <c r="S5" s="1210"/>
    </row>
    <row r="6" spans="1:19" ht="15" customHeight="1">
      <c r="A6" s="69"/>
      <c r="B6" s="70"/>
      <c r="C6" s="70"/>
      <c r="D6" s="9" t="s">
        <v>147</v>
      </c>
      <c r="N6" s="72"/>
      <c r="P6" s="1211"/>
      <c r="Q6" s="1212"/>
      <c r="R6" s="1212"/>
      <c r="S6" s="1213"/>
    </row>
    <row r="7" spans="1:19" ht="15" customHeight="1">
      <c r="A7" s="1207" t="s">
        <v>148</v>
      </c>
      <c r="B7" t="s">
        <v>149</v>
      </c>
      <c r="C7" s="71">
        <v>1.23E-2</v>
      </c>
      <c r="D7" s="71">
        <v>1.44E-2</v>
      </c>
      <c r="F7" s="1224" t="s">
        <v>123</v>
      </c>
      <c r="G7" t="s">
        <v>123</v>
      </c>
      <c r="H7" s="74">
        <f>IF(入力シート!E23="以後",計算シート!H8,H9)</f>
        <v>2.1999999999999999E-2</v>
      </c>
      <c r="K7" s="1224" t="s">
        <v>150</v>
      </c>
      <c r="N7" s="72"/>
      <c r="P7" s="96"/>
      <c r="Q7" s="94"/>
      <c r="R7" s="94"/>
      <c r="S7" s="97"/>
    </row>
    <row r="8" spans="1:19" ht="15" customHeight="1">
      <c r="A8" s="1207"/>
      <c r="B8" t="s">
        <v>151</v>
      </c>
      <c r="C8" s="71">
        <v>1.6199999999999999E-2</v>
      </c>
      <c r="D8" s="74" t="s">
        <v>152</v>
      </c>
      <c r="F8" s="1224"/>
      <c r="G8" s="95" t="s">
        <v>153</v>
      </c>
      <c r="H8" s="71">
        <v>2.1999999999999999E-2</v>
      </c>
      <c r="K8" s="1224"/>
      <c r="L8" s="95" t="s">
        <v>154</v>
      </c>
      <c r="M8">
        <f>ポイントメニュー!E21</f>
        <v>0</v>
      </c>
      <c r="N8" s="72" t="s">
        <v>155</v>
      </c>
      <c r="P8" s="99"/>
      <c r="R8" s="77"/>
      <c r="S8" s="98"/>
    </row>
    <row r="9" spans="1:19" ht="15" customHeight="1">
      <c r="A9" s="73"/>
      <c r="B9" t="s">
        <v>156</v>
      </c>
      <c r="C9" s="71">
        <v>1.72E-2</v>
      </c>
      <c r="D9" s="71">
        <v>1.49E-2</v>
      </c>
      <c r="F9" s="1224"/>
      <c r="G9" s="95" t="s">
        <v>157</v>
      </c>
      <c r="H9" s="71">
        <v>2.1499999999999998E-2</v>
      </c>
      <c r="K9" s="1224"/>
      <c r="L9" s="95" t="s">
        <v>158</v>
      </c>
      <c r="M9">
        <f>ポイントメニュー!G21</f>
        <v>0</v>
      </c>
      <c r="N9" s="72" t="s">
        <v>159</v>
      </c>
      <c r="P9" s="99"/>
      <c r="R9" s="77"/>
      <c r="S9" s="98"/>
    </row>
    <row r="10" spans="1:19" ht="15" customHeight="1">
      <c r="F10" s="1224"/>
      <c r="K10" s="1224"/>
      <c r="L10" s="95" t="s">
        <v>160</v>
      </c>
      <c r="P10" s="1214"/>
      <c r="R10" s="77"/>
      <c r="S10" s="98"/>
    </row>
    <row r="11" spans="1:19" ht="15" customHeight="1">
      <c r="A11" s="1207" t="s">
        <v>161</v>
      </c>
      <c r="B11" t="s">
        <v>162</v>
      </c>
      <c r="C11" s="93" t="str">
        <f>IF(入力シート!E19="","",入力シート!E19)</f>
        <v/>
      </c>
      <c r="D11" s="93" t="str">
        <f>IF(入力シート!G19="","",入力シート!G19)</f>
        <v/>
      </c>
      <c r="F11" s="1224"/>
      <c r="G11" s="95" t="s">
        <v>163</v>
      </c>
      <c r="H11" s="84">
        <v>200000</v>
      </c>
      <c r="I11" t="s">
        <v>164</v>
      </c>
      <c r="K11" s="1224"/>
      <c r="L11" s="95" t="s">
        <v>165</v>
      </c>
      <c r="M11">
        <f>ポイントメニュー!E22</f>
        <v>0</v>
      </c>
      <c r="N11" s="72" t="s">
        <v>155</v>
      </c>
      <c r="P11" s="1214"/>
      <c r="Q11" s="95"/>
      <c r="S11" s="98"/>
    </row>
    <row r="12" spans="1:19" ht="15" customHeight="1">
      <c r="A12" s="1207"/>
      <c r="B12" t="s">
        <v>26</v>
      </c>
      <c r="C12" s="93" t="str">
        <f>IF(入力シート!E20="","",入力シート!E20)</f>
        <v/>
      </c>
      <c r="F12" s="1224"/>
      <c r="H12" s="274">
        <f>IF(入力シート!E23="旧",8%,10%)</f>
        <v>0.1</v>
      </c>
      <c r="K12" s="1224"/>
      <c r="L12" s="95" t="s">
        <v>158</v>
      </c>
      <c r="M12">
        <f>ポイントメニュー!G22</f>
        <v>0</v>
      </c>
      <c r="N12" s="72" t="s">
        <v>159</v>
      </c>
      <c r="P12" s="1214"/>
      <c r="S12" s="98"/>
    </row>
    <row r="13" spans="1:19" ht="15" customHeight="1">
      <c r="B13" t="s">
        <v>29</v>
      </c>
      <c r="C13" s="93" t="str">
        <f>IF(入力シート!E21="","",入力シート!E21)</f>
        <v/>
      </c>
      <c r="D13" s="93" t="str">
        <f>IF(入力シート!G21="","",入力シート!G21)</f>
        <v/>
      </c>
      <c r="H13" s="75">
        <f>H11*(1+H12)</f>
        <v>220000.00000000003</v>
      </c>
      <c r="N13" s="72"/>
      <c r="P13" s="1214"/>
      <c r="S13" s="98"/>
    </row>
    <row r="14" spans="1:19" ht="15" customHeight="1">
      <c r="A14" s="83"/>
      <c r="G14" t="s">
        <v>166</v>
      </c>
      <c r="K14" s="1224" t="s">
        <v>167</v>
      </c>
      <c r="L14" s="95" t="s">
        <v>168</v>
      </c>
      <c r="M14" s="71">
        <v>-8.9999999999999998E-4</v>
      </c>
      <c r="N14" s="72"/>
      <c r="P14" s="1214"/>
      <c r="Q14" s="95"/>
      <c r="R14" s="71"/>
      <c r="S14" s="98"/>
    </row>
    <row r="15" spans="1:19" ht="15" customHeight="1">
      <c r="A15" s="1203" t="s">
        <v>169</v>
      </c>
      <c r="B15" t="s">
        <v>162</v>
      </c>
      <c r="C15" s="74">
        <f>IF(C11="",C7,C11)</f>
        <v>1.23E-2</v>
      </c>
      <c r="D15" s="74">
        <f>IF(D11="",D7,D11)</f>
        <v>1.44E-2</v>
      </c>
      <c r="F15" s="94"/>
      <c r="G15" s="95" t="s">
        <v>123</v>
      </c>
      <c r="H15" s="75">
        <v>55000</v>
      </c>
      <c r="I15" t="s">
        <v>61</v>
      </c>
      <c r="K15" s="1224"/>
      <c r="L15" s="95" t="s">
        <v>170</v>
      </c>
      <c r="M15" s="71">
        <v>2E-3</v>
      </c>
      <c r="N15" s="72"/>
      <c r="P15" s="99"/>
      <c r="R15" s="74"/>
      <c r="S15" s="98"/>
    </row>
    <row r="16" spans="1:19" ht="15" customHeight="1">
      <c r="A16" s="1203"/>
      <c r="B16" t="s">
        <v>26</v>
      </c>
      <c r="C16" s="74">
        <f>IF(C12="",C8,C12)</f>
        <v>1.6199999999999999E-2</v>
      </c>
      <c r="G16" s="95" t="s">
        <v>158</v>
      </c>
      <c r="H16" s="71">
        <v>2.5000000000000001E-3</v>
      </c>
      <c r="I16" t="s">
        <v>171</v>
      </c>
      <c r="K16" s="1224"/>
      <c r="L16" s="95" t="s">
        <v>172</v>
      </c>
      <c r="M16" s="71">
        <v>1.8E-3</v>
      </c>
      <c r="N16" s="72" t="s">
        <v>173</v>
      </c>
      <c r="P16" s="100"/>
      <c r="S16" s="98"/>
    </row>
    <row r="17" spans="1:19" ht="15" customHeight="1">
      <c r="A17" s="1203"/>
      <c r="B17" t="s">
        <v>29</v>
      </c>
      <c r="C17" s="74">
        <f>IF(C13="",C9,C13)</f>
        <v>1.72E-2</v>
      </c>
      <c r="D17" s="74">
        <f>IF(D13="",D9,D13)</f>
        <v>1.49E-2</v>
      </c>
      <c r="K17" s="1224"/>
      <c r="L17" s="95" t="s">
        <v>174</v>
      </c>
      <c r="M17" s="71">
        <v>2.3999999999999998E-3</v>
      </c>
      <c r="N17" s="72" t="s">
        <v>173</v>
      </c>
      <c r="P17" s="100"/>
      <c r="Q17" s="95"/>
      <c r="R17" s="71"/>
      <c r="S17" s="98"/>
    </row>
    <row r="18" spans="1:19" ht="15" customHeight="1">
      <c r="A18" s="83"/>
      <c r="B18" s="104" t="s">
        <v>175</v>
      </c>
      <c r="C18" s="111">
        <f>M15</f>
        <v>2E-3</v>
      </c>
      <c r="D18" s="104" t="s">
        <v>176</v>
      </c>
      <c r="G18" s="95" t="s">
        <v>177</v>
      </c>
      <c r="H18" s="77">
        <v>1</v>
      </c>
      <c r="N18" s="72"/>
      <c r="P18" s="103"/>
      <c r="Q18" s="101"/>
      <c r="R18" s="101"/>
      <c r="S18" s="102"/>
    </row>
    <row r="19" spans="1:19" ht="15" customHeight="1">
      <c r="A19" s="73"/>
      <c r="C19" s="74"/>
      <c r="G19" s="95"/>
      <c r="L19" s="95" t="s">
        <v>178</v>
      </c>
      <c r="M19" s="71">
        <v>-8.0000000000000004E-4</v>
      </c>
      <c r="N19" s="72"/>
      <c r="P19" s="96"/>
      <c r="S19" s="98"/>
    </row>
    <row r="20" spans="1:19" ht="15" customHeight="1">
      <c r="A20" s="73"/>
      <c r="B20" t="s">
        <v>179</v>
      </c>
      <c r="G20" s="95"/>
      <c r="L20" s="95" t="s">
        <v>180</v>
      </c>
      <c r="M20" s="71">
        <v>1E-3</v>
      </c>
      <c r="N20" s="72" t="s">
        <v>173</v>
      </c>
      <c r="P20" s="96"/>
      <c r="S20" s="98"/>
    </row>
    <row r="21" spans="1:19" ht="15" customHeight="1">
      <c r="A21" s="83"/>
      <c r="B21" s="95" t="s">
        <v>158</v>
      </c>
      <c r="C21" s="71">
        <v>1.1000000000000001E-3</v>
      </c>
      <c r="D21" t="s">
        <v>171</v>
      </c>
      <c r="G21" t="s">
        <v>181</v>
      </c>
      <c r="H21" s="77">
        <f>IF(入力シート!B27="フラット５０",0,IF(入力シート!B27="買取型",1,IF(入力シート!B27="保証型８０％以下",2,3)))</f>
        <v>1</v>
      </c>
      <c r="L21" s="95" t="s">
        <v>182</v>
      </c>
      <c r="M21" s="71">
        <v>1.5E-3</v>
      </c>
      <c r="N21" s="72" t="s">
        <v>173</v>
      </c>
      <c r="P21" s="96"/>
      <c r="S21" s="98"/>
    </row>
    <row r="22" spans="1:19" ht="15" customHeight="1">
      <c r="A22" s="83"/>
      <c r="B22" s="106" t="s">
        <v>183</v>
      </c>
      <c r="C22" s="74"/>
      <c r="G22" t="s">
        <v>184</v>
      </c>
      <c r="H22" s="74">
        <f>入力シート!D20-入力シート!F19-0.08%</f>
        <v>9.9999999999999959E-4</v>
      </c>
      <c r="L22" s="95" t="s">
        <v>185</v>
      </c>
      <c r="M22" s="71">
        <v>2.5000000000000001E-3</v>
      </c>
      <c r="N22" s="72" t="s">
        <v>173</v>
      </c>
      <c r="P22" s="96"/>
      <c r="S22" s="98"/>
    </row>
    <row r="23" spans="1:19" ht="15" customHeight="1">
      <c r="A23" s="83"/>
      <c r="B23" s="95" t="s">
        <v>158</v>
      </c>
      <c r="C23" s="71">
        <f>IF(H21=2,H22,IF(H21=3,H23,0))</f>
        <v>0</v>
      </c>
      <c r="D23" t="s">
        <v>186</v>
      </c>
      <c r="G23" s="95" t="s">
        <v>187</v>
      </c>
      <c r="H23" s="74">
        <f>入力シート!D20-入力シート!F21-0.08%</f>
        <v>4.9999999999999903E-4</v>
      </c>
      <c r="N23" s="72"/>
      <c r="P23" s="96"/>
      <c r="S23" s="98"/>
    </row>
    <row r="24" spans="1:19" ht="15" customHeight="1">
      <c r="A24" s="78"/>
      <c r="B24" s="79"/>
      <c r="C24" s="79"/>
      <c r="D24" s="79"/>
      <c r="E24" s="79"/>
      <c r="F24" s="79"/>
      <c r="G24" s="79"/>
      <c r="H24" s="79"/>
      <c r="I24" s="79"/>
      <c r="J24" s="79"/>
      <c r="K24" s="79"/>
      <c r="L24" s="79"/>
      <c r="M24" s="79"/>
      <c r="N24" s="80"/>
      <c r="P24" s="1215" t="s">
        <v>188</v>
      </c>
      <c r="Q24" s="1216"/>
      <c r="R24" s="1216"/>
      <c r="S24" s="1217"/>
    </row>
    <row r="25" spans="1:19" ht="15" customHeight="1">
      <c r="P25" s="1218"/>
      <c r="Q25" s="1219"/>
      <c r="R25" s="1219"/>
      <c r="S25" s="1220"/>
    </row>
    <row r="26" spans="1:19" ht="15" customHeight="1">
      <c r="P26" s="1218"/>
      <c r="Q26" s="1219"/>
      <c r="R26" s="1219"/>
      <c r="S26" s="1220"/>
    </row>
    <row r="27" spans="1:19" ht="15" customHeight="1">
      <c r="P27" s="1221"/>
      <c r="Q27" s="1222"/>
      <c r="R27" s="1222"/>
      <c r="S27" s="1223"/>
    </row>
    <row r="28" spans="1:19" ht="15" customHeight="1">
      <c r="A28" s="1199" t="s">
        <v>189</v>
      </c>
      <c r="B28" s="1200"/>
      <c r="C28" s="1200"/>
      <c r="D28" s="1200"/>
      <c r="E28" s="1200"/>
      <c r="F28" s="1200"/>
      <c r="G28" s="1200"/>
      <c r="H28" s="1200"/>
      <c r="I28" s="1200"/>
      <c r="J28" s="1200"/>
      <c r="K28" s="1200"/>
      <c r="L28" s="1200"/>
      <c r="M28" s="1200"/>
      <c r="N28" s="1201"/>
      <c r="P28" s="109"/>
      <c r="Q28" s="109"/>
      <c r="R28" s="109"/>
      <c r="S28" s="109"/>
    </row>
    <row r="29" spans="1:19" ht="15" customHeight="1">
      <c r="A29" s="83"/>
      <c r="N29" s="72"/>
      <c r="P29" s="1215" t="s">
        <v>190</v>
      </c>
      <c r="Q29" s="1209"/>
      <c r="R29" s="1209"/>
      <c r="S29" s="1210"/>
    </row>
    <row r="30" spans="1:19" ht="15" customHeight="1">
      <c r="A30" s="83"/>
      <c r="B30" t="s">
        <v>191</v>
      </c>
      <c r="G30" s="106" t="s">
        <v>192</v>
      </c>
      <c r="H30" s="76">
        <v>25</v>
      </c>
      <c r="I30" t="s">
        <v>193</v>
      </c>
      <c r="L30" s="95" t="s">
        <v>194</v>
      </c>
      <c r="M30" s="76">
        <v>80</v>
      </c>
      <c r="N30" s="72" t="s">
        <v>10</v>
      </c>
      <c r="P30" s="1211"/>
      <c r="Q30" s="1212"/>
      <c r="R30" s="1212"/>
      <c r="S30" s="1213"/>
    </row>
    <row r="31" spans="1:19" ht="15" customHeight="1">
      <c r="A31" s="83"/>
      <c r="B31" s="95" t="s">
        <v>148</v>
      </c>
      <c r="C31" s="71">
        <v>3.95E-2</v>
      </c>
      <c r="G31" s="95" t="s">
        <v>195</v>
      </c>
      <c r="H31" s="110">
        <v>0</v>
      </c>
      <c r="L31" s="95" t="s">
        <v>196</v>
      </c>
      <c r="M31" s="76">
        <v>65</v>
      </c>
      <c r="N31" s="72" t="s">
        <v>10</v>
      </c>
      <c r="P31" s="96"/>
      <c r="Q31" s="94"/>
      <c r="R31" s="94"/>
      <c r="S31" s="97"/>
    </row>
    <row r="32" spans="1:19" ht="15" customHeight="1">
      <c r="A32" s="83"/>
      <c r="B32" s="95" t="s">
        <v>123</v>
      </c>
      <c r="C32" s="75">
        <v>55000</v>
      </c>
      <c r="D32" t="s">
        <v>61</v>
      </c>
      <c r="L32" s="95" t="s">
        <v>197</v>
      </c>
      <c r="M32" s="76">
        <v>35</v>
      </c>
      <c r="N32" s="72" t="s">
        <v>72</v>
      </c>
      <c r="P32" s="99"/>
      <c r="S32" s="98"/>
    </row>
    <row r="33" spans="1:19" ht="15" customHeight="1">
      <c r="A33" s="83"/>
      <c r="B33" t="s">
        <v>198</v>
      </c>
      <c r="G33" t="s">
        <v>199</v>
      </c>
      <c r="H33" s="76">
        <v>500</v>
      </c>
      <c r="I33" t="s">
        <v>200</v>
      </c>
      <c r="L33" s="95" t="s">
        <v>201</v>
      </c>
      <c r="M33" s="76">
        <v>1</v>
      </c>
      <c r="N33" s="72" t="s">
        <v>72</v>
      </c>
      <c r="P33" s="99"/>
      <c r="S33" s="98"/>
    </row>
    <row r="34" spans="1:19" ht="15" customHeight="1">
      <c r="A34" s="83"/>
      <c r="B34" s="95" t="s">
        <v>148</v>
      </c>
      <c r="C34" s="71">
        <v>2.9499999999999998E-2</v>
      </c>
      <c r="H34" s="110">
        <v>4.0000000000000001E-3</v>
      </c>
      <c r="I34" t="s">
        <v>202</v>
      </c>
      <c r="L34" s="95" t="s">
        <v>203</v>
      </c>
      <c r="M34" s="76">
        <v>2000</v>
      </c>
      <c r="N34" s="72" t="s">
        <v>14</v>
      </c>
      <c r="P34" s="1214"/>
      <c r="S34" s="98"/>
    </row>
    <row r="35" spans="1:19" ht="15" customHeight="1">
      <c r="A35" s="83"/>
      <c r="B35" s="95" t="s">
        <v>123</v>
      </c>
      <c r="C35" s="75">
        <v>132000</v>
      </c>
      <c r="D35" t="s">
        <v>61</v>
      </c>
      <c r="L35" s="95" t="s">
        <v>204</v>
      </c>
      <c r="M35" s="76">
        <v>50</v>
      </c>
      <c r="N35" s="72" t="s">
        <v>14</v>
      </c>
      <c r="P35" s="1214"/>
      <c r="Q35" s="95"/>
      <c r="R35" s="75"/>
      <c r="S35" s="98"/>
    </row>
    <row r="36" spans="1:19" ht="15" customHeight="1">
      <c r="A36" s="83"/>
      <c r="G36" t="s">
        <v>205</v>
      </c>
      <c r="H36" s="110">
        <v>2.5000000000000001E-3</v>
      </c>
      <c r="I36" t="s">
        <v>206</v>
      </c>
      <c r="N36" s="72"/>
      <c r="P36" s="1214"/>
      <c r="S36" s="98"/>
    </row>
    <row r="37" spans="1:19" ht="15" customHeight="1">
      <c r="A37" s="78"/>
      <c r="B37" s="79"/>
      <c r="C37" s="79"/>
      <c r="D37" s="79"/>
      <c r="E37" s="79"/>
      <c r="F37" s="79"/>
      <c r="G37" s="79"/>
      <c r="H37" s="79"/>
      <c r="I37" s="79"/>
      <c r="J37" s="79"/>
      <c r="K37" s="79"/>
      <c r="L37" s="79"/>
      <c r="M37" s="79"/>
      <c r="N37" s="80"/>
      <c r="P37" s="1214"/>
      <c r="S37" s="98"/>
    </row>
    <row r="38" spans="1:19" ht="15" customHeight="1">
      <c r="P38" s="1214"/>
      <c r="Q38" s="95"/>
      <c r="R38" s="75"/>
      <c r="S38" s="98"/>
    </row>
    <row r="39" spans="1:19" ht="15" customHeight="1">
      <c r="P39" s="99"/>
      <c r="R39" s="74"/>
      <c r="S39" s="98"/>
    </row>
    <row r="40" spans="1:19" ht="15" customHeight="1">
      <c r="A40" s="1199" t="s">
        <v>207</v>
      </c>
      <c r="B40" s="1200"/>
      <c r="C40" s="1200"/>
      <c r="D40" s="1200"/>
      <c r="E40" s="1200"/>
      <c r="F40" s="1200"/>
      <c r="G40" s="1200"/>
      <c r="H40" s="1200"/>
      <c r="I40" s="1200"/>
      <c r="J40" s="1200"/>
      <c r="K40" s="1200"/>
      <c r="L40" s="1200"/>
      <c r="M40" s="1200"/>
      <c r="N40" s="1201"/>
      <c r="P40" s="100"/>
      <c r="S40" s="98"/>
    </row>
    <row r="41" spans="1:19" ht="15" customHeight="1">
      <c r="A41" s="69"/>
      <c r="B41" s="70"/>
      <c r="C41" s="70"/>
      <c r="D41" s="70"/>
      <c r="N41" s="72"/>
      <c r="P41" s="100"/>
      <c r="Q41" s="95"/>
      <c r="R41" s="71"/>
      <c r="S41" s="98"/>
    </row>
    <row r="42" spans="1:19" ht="15" customHeight="1">
      <c r="A42" s="1202" t="s">
        <v>208</v>
      </c>
      <c r="B42" t="s">
        <v>209</v>
      </c>
      <c r="C42" s="77">
        <f>入力シート!G9</f>
        <v>0</v>
      </c>
      <c r="D42" t="s">
        <v>10</v>
      </c>
      <c r="F42" s="1203" t="s">
        <v>210</v>
      </c>
      <c r="G42" t="s">
        <v>211</v>
      </c>
      <c r="H42" s="77">
        <f>入力シート!G12</f>
        <v>0</v>
      </c>
      <c r="I42" t="s">
        <v>14</v>
      </c>
      <c r="N42" s="72"/>
      <c r="P42" s="103"/>
      <c r="Q42" s="101"/>
      <c r="R42" s="101"/>
      <c r="S42" s="102"/>
    </row>
    <row r="43" spans="1:19" ht="15" customHeight="1">
      <c r="A43" s="1202"/>
      <c r="B43" t="s">
        <v>212</v>
      </c>
      <c r="C43">
        <f>IF(MIN(35,80-C42-1)&lt;0,0,MIN(35,80-C42-1))</f>
        <v>35</v>
      </c>
      <c r="D43" t="s">
        <v>72</v>
      </c>
      <c r="F43" s="1203"/>
      <c r="G43" t="s">
        <v>213</v>
      </c>
      <c r="H43" s="77">
        <f>IF(H48=TRUE,入力シート!L12*0.5,入力シート!L12)</f>
        <v>0</v>
      </c>
      <c r="I43" t="s">
        <v>14</v>
      </c>
      <c r="N43" s="72"/>
      <c r="P43" s="1215" t="s">
        <v>188</v>
      </c>
      <c r="Q43" s="1216"/>
      <c r="R43" s="1216"/>
      <c r="S43" s="1217"/>
    </row>
    <row r="44" spans="1:19" ht="15" customHeight="1">
      <c r="A44" s="1202"/>
      <c r="B44" t="s">
        <v>214</v>
      </c>
      <c r="C44">
        <f>IF(C42&gt;=60,10,15)</f>
        <v>15</v>
      </c>
      <c r="D44" t="s">
        <v>72</v>
      </c>
      <c r="F44" s="1203"/>
      <c r="G44" t="s">
        <v>215</v>
      </c>
      <c r="H44">
        <f>IF(入力シート!I14&lt;400,0.3,0.35)</f>
        <v>0.3</v>
      </c>
      <c r="N44" s="72"/>
      <c r="P44" s="1218"/>
      <c r="Q44" s="1219"/>
      <c r="R44" s="1219"/>
      <c r="S44" s="1220"/>
    </row>
    <row r="45" spans="1:19" ht="15" customHeight="1">
      <c r="A45" s="1202"/>
      <c r="B45" t="s">
        <v>216</v>
      </c>
      <c r="C45" s="77" t="b">
        <v>0</v>
      </c>
      <c r="F45" s="1203"/>
      <c r="G45" t="s">
        <v>217</v>
      </c>
      <c r="H45" s="77">
        <f>入力シート!G15+入力シート!L15</f>
        <v>0</v>
      </c>
      <c r="I45" t="s">
        <v>14</v>
      </c>
      <c r="N45" s="72"/>
      <c r="P45" s="1221"/>
      <c r="Q45" s="1222"/>
      <c r="R45" s="1222"/>
      <c r="S45" s="1223"/>
    </row>
    <row r="46" spans="1:19" ht="15" customHeight="1">
      <c r="A46" s="1202"/>
      <c r="B46" t="s">
        <v>218</v>
      </c>
      <c r="C46">
        <f>IF(C45=TRUE,C49,C43)</f>
        <v>35</v>
      </c>
      <c r="D46" t="s">
        <v>72</v>
      </c>
      <c r="F46" s="1203"/>
      <c r="G46" t="s">
        <v>219</v>
      </c>
      <c r="H46" s="82">
        <f>($H$42+$H$43)*$H$44-$H$45</f>
        <v>0</v>
      </c>
      <c r="I46" t="s">
        <v>14</v>
      </c>
      <c r="N46" s="72"/>
      <c r="Q46" t="s">
        <v>220</v>
      </c>
    </row>
    <row r="47" spans="1:19" ht="15" customHeight="1">
      <c r="A47" s="1202"/>
      <c r="B47" t="s">
        <v>221</v>
      </c>
      <c r="C47">
        <f>IF(C45=FALSE,C44,15)</f>
        <v>15</v>
      </c>
      <c r="D47" t="s">
        <v>72</v>
      </c>
      <c r="N47" s="72"/>
    </row>
    <row r="48" spans="1:19" ht="15" customHeight="1">
      <c r="A48" s="1202"/>
      <c r="B48" t="s">
        <v>222</v>
      </c>
      <c r="C48" s="77">
        <f>入力シート!L9</f>
        <v>0</v>
      </c>
      <c r="D48" t="s">
        <v>10</v>
      </c>
      <c r="G48" t="s">
        <v>223</v>
      </c>
      <c r="H48" s="77" t="b">
        <v>0</v>
      </c>
      <c r="N48" s="72"/>
    </row>
    <row r="49" spans="1:14" ht="15" customHeight="1">
      <c r="A49" s="1202"/>
      <c r="B49" t="s">
        <v>224</v>
      </c>
      <c r="C49">
        <f>IF(MIN(35,80-C48-1)&lt;0,0,MIN(35,80-C48-1))</f>
        <v>35</v>
      </c>
      <c r="D49" t="s">
        <v>72</v>
      </c>
      <c r="N49" s="72"/>
    </row>
    <row r="50" spans="1:14" ht="15" customHeight="1">
      <c r="A50" s="1202"/>
      <c r="B50" t="s">
        <v>225</v>
      </c>
      <c r="C50">
        <f>IF(C48&gt;=60,10,15)</f>
        <v>15</v>
      </c>
      <c r="D50" t="s">
        <v>72</v>
      </c>
      <c r="N50" s="72"/>
    </row>
    <row r="51" spans="1:14" ht="15" customHeight="1">
      <c r="A51" s="1202"/>
      <c r="G51" t="s">
        <v>226</v>
      </c>
      <c r="H51">
        <f>MIN(50,80-C42-1)</f>
        <v>50</v>
      </c>
      <c r="I51" t="s">
        <v>72</v>
      </c>
      <c r="N51" s="72"/>
    </row>
    <row r="52" spans="1:14" ht="15" customHeight="1">
      <c r="A52" s="1202"/>
      <c r="G52" t="s">
        <v>227</v>
      </c>
      <c r="H52">
        <f>IF(C45=TRUE,50,H51)</f>
        <v>50</v>
      </c>
      <c r="I52" t="s">
        <v>72</v>
      </c>
      <c r="N52" s="72"/>
    </row>
    <row r="53" spans="1:14" ht="15" customHeight="1">
      <c r="A53" s="1202"/>
      <c r="B53" t="s">
        <v>228</v>
      </c>
      <c r="C53" s="81">
        <f>IF(H48=TRUE,C46,MIN(C49,C46))</f>
        <v>35</v>
      </c>
      <c r="D53" t="s">
        <v>72</v>
      </c>
      <c r="G53" t="s">
        <v>229</v>
      </c>
      <c r="H53">
        <f>MIN(50,80-C48-1)</f>
        <v>50</v>
      </c>
      <c r="I53" t="s">
        <v>72</v>
      </c>
      <c r="N53" s="72"/>
    </row>
    <row r="54" spans="1:14" ht="15" customHeight="1">
      <c r="A54" s="1202"/>
      <c r="B54" t="s">
        <v>230</v>
      </c>
      <c r="C54" s="81">
        <f>MIN(C44,C47,C50)</f>
        <v>15</v>
      </c>
      <c r="D54" t="s">
        <v>72</v>
      </c>
      <c r="G54" t="s">
        <v>231</v>
      </c>
      <c r="H54" s="81">
        <f>IF(H48=TRUE,H52,MIN(H53,H52))</f>
        <v>50</v>
      </c>
      <c r="I54" t="s">
        <v>72</v>
      </c>
      <c r="N54" s="72"/>
    </row>
    <row r="55" spans="1:14" ht="15" customHeight="1">
      <c r="A55" s="85"/>
      <c r="N55" s="72"/>
    </row>
    <row r="56" spans="1:14" ht="15" customHeight="1">
      <c r="A56" s="78"/>
      <c r="B56" s="79"/>
      <c r="C56" s="79"/>
      <c r="D56" s="79"/>
      <c r="E56" s="79"/>
      <c r="F56" s="79"/>
      <c r="G56" s="79"/>
      <c r="H56" s="79"/>
      <c r="I56" s="79"/>
      <c r="J56" s="79"/>
      <c r="K56" s="79"/>
      <c r="L56" s="79"/>
      <c r="M56" s="79"/>
      <c r="N56" s="80"/>
    </row>
    <row r="59" spans="1:14" ht="15" customHeight="1">
      <c r="A59" s="1199" t="s">
        <v>232</v>
      </c>
      <c r="B59" s="1200"/>
      <c r="C59" s="1200"/>
      <c r="D59" s="1200"/>
      <c r="E59" s="1200"/>
      <c r="F59" s="1200"/>
      <c r="G59" s="1200"/>
      <c r="H59" s="1200"/>
      <c r="I59" s="1200"/>
      <c r="J59" s="1200"/>
      <c r="K59" s="1200"/>
      <c r="L59" s="1200"/>
      <c r="M59" s="1200"/>
      <c r="N59" s="1201"/>
    </row>
    <row r="60" spans="1:14" ht="15" customHeight="1">
      <c r="A60" s="69"/>
      <c r="B60" s="70"/>
      <c r="C60" s="70"/>
      <c r="D60" s="70"/>
      <c r="N60" s="72"/>
    </row>
    <row r="61" spans="1:14" ht="15" customHeight="1">
      <c r="A61" s="83"/>
      <c r="B61" t="s">
        <v>233</v>
      </c>
      <c r="C61">
        <f>C53</f>
        <v>35</v>
      </c>
      <c r="D61" t="s">
        <v>72</v>
      </c>
      <c r="F61" s="1203" t="s">
        <v>234</v>
      </c>
      <c r="G61" t="s">
        <v>235</v>
      </c>
      <c r="H61" s="68">
        <f>PMT((IF($C$61&gt;20,C16,C15)+C18)/12,$C$61*12,-1000000)</f>
        <v>3221.0014962593427</v>
      </c>
      <c r="K61" s="1203" t="s">
        <v>236</v>
      </c>
      <c r="L61" t="s">
        <v>237</v>
      </c>
      <c r="M61">
        <f>-ISPMT((IF($C$61&gt;20,IF($C$61&gt;20,C16,C15))+C18)/12,0,($C$61*12),1000000)+(1000000/($C$61*12))</f>
        <v>3897.6190476190477</v>
      </c>
      <c r="N61" s="72"/>
    </row>
    <row r="62" spans="1:14" ht="15" customHeight="1">
      <c r="A62" s="83"/>
      <c r="F62" s="1203"/>
      <c r="G62" t="s">
        <v>238</v>
      </c>
      <c r="H62" s="82">
        <f>MIN(8000,ROUNDDOWN($H$46*1000000/(12*H61),0))</f>
        <v>0</v>
      </c>
      <c r="I62" t="s">
        <v>14</v>
      </c>
      <c r="K62" s="1203"/>
      <c r="L62" t="s">
        <v>238</v>
      </c>
      <c r="M62" s="81">
        <f>MIN(8000,ROUNDDOWN($H$46*1000000/(12*M61),0))</f>
        <v>0</v>
      </c>
      <c r="N62" s="72" t="s">
        <v>14</v>
      </c>
    </row>
    <row r="63" spans="1:14" ht="15" customHeight="1">
      <c r="A63" s="83"/>
      <c r="B63" t="s">
        <v>239</v>
      </c>
      <c r="C63">
        <f>H54</f>
        <v>50</v>
      </c>
      <c r="D63" t="s">
        <v>72</v>
      </c>
      <c r="F63" s="1203"/>
      <c r="G63" t="s">
        <v>240</v>
      </c>
      <c r="H63" s="68">
        <f>PMT((IF($C$61&gt;20,C16,C15)+C21+C18)/12,$C$61*12,-1000000)</f>
        <v>3276.8167528882886</v>
      </c>
      <c r="K63" s="1203"/>
      <c r="L63" t="s">
        <v>240</v>
      </c>
      <c r="M63">
        <f>-ISPMT((IF($C$61&gt;20,IF($C$61&gt;20,C16,C15))+C21+C18)/12,0,($C$61*12),1000000)+(1000000/($C$61*12))</f>
        <v>3989.2857142857138</v>
      </c>
      <c r="N63" s="72"/>
    </row>
    <row r="64" spans="1:14" ht="15" customHeight="1">
      <c r="A64" s="83"/>
      <c r="F64" s="1203"/>
      <c r="G64" t="s">
        <v>238</v>
      </c>
      <c r="H64" s="82">
        <f>MIN(8000,ROUNDDOWN($H$46*1000000/(12*H63),0))</f>
        <v>0</v>
      </c>
      <c r="I64" t="s">
        <v>14</v>
      </c>
      <c r="K64" s="1203"/>
      <c r="L64" t="s">
        <v>238</v>
      </c>
      <c r="M64" s="81">
        <f>MIN(8000,ROUNDDOWN($H$46*1000000/(12*M63),0))</f>
        <v>0</v>
      </c>
      <c r="N64" s="72" t="s">
        <v>14</v>
      </c>
    </row>
    <row r="65" spans="1:18" ht="15" customHeight="1">
      <c r="A65" s="83"/>
      <c r="F65" s="1203"/>
      <c r="G65" t="s">
        <v>241</v>
      </c>
      <c r="H65" s="68">
        <f>PMT((IF($C$61&gt;20,C16,C15)+C18-H22)/12,$C$61*12,-1000000)</f>
        <v>3170.7493804663113</v>
      </c>
      <c r="K65" s="1203"/>
      <c r="L65" t="s">
        <v>241</v>
      </c>
      <c r="M65">
        <f>-ISPMT((IF($C$61&gt;20,C16,C15)+C18-H22)/12,0,($C$61*12),1000000)+(1000000/($C$61*12))</f>
        <v>3814.2857142857138</v>
      </c>
      <c r="N65" s="72"/>
    </row>
    <row r="66" spans="1:18" ht="15" customHeight="1">
      <c r="A66" s="83"/>
      <c r="C66" s="68"/>
      <c r="F66" s="1203"/>
      <c r="G66" t="s">
        <v>238</v>
      </c>
      <c r="H66" s="82">
        <f>MIN(8000,ROUNDDOWN($H$46*1000000/(12*H65),0))</f>
        <v>0</v>
      </c>
      <c r="I66" t="s">
        <v>14</v>
      </c>
      <c r="K66" s="1203"/>
      <c r="L66" t="s">
        <v>238</v>
      </c>
      <c r="M66" s="81">
        <f t="shared" ref="M66" si="0">MIN(8000,ROUNDDOWN($H$46*1000000/(12*M65),0))</f>
        <v>0</v>
      </c>
      <c r="N66" s="72" t="s">
        <v>14</v>
      </c>
    </row>
    <row r="67" spans="1:18" ht="15" customHeight="1">
      <c r="A67" s="83"/>
      <c r="B67" t="s">
        <v>242</v>
      </c>
      <c r="C67" s="82">
        <f>MIN(8000-H72,ROUNDDOWN($H$46*1000000/(12*H71)*0.1,0))</f>
        <v>0</v>
      </c>
      <c r="D67" t="s">
        <v>14</v>
      </c>
      <c r="F67" s="1203"/>
      <c r="G67" t="s">
        <v>243</v>
      </c>
      <c r="H67" s="68">
        <f>PMT((IF($C$61&gt;20,C16,C15)+C18-H23)/12,$C$61*12,-1000000)</f>
        <v>3195.8170806162348</v>
      </c>
      <c r="K67" s="1203"/>
      <c r="L67" t="s">
        <v>243</v>
      </c>
      <c r="M67">
        <f>-ISPMT((IF($C$61&gt;20,C16,C15)+C18-H23)/12,0,($C$61*12),1000000)+(1000000/($C$61*12))</f>
        <v>3855.9523809523807</v>
      </c>
      <c r="N67" s="72"/>
      <c r="R67">
        <f>(ROUNDDOWN((C17+C18)*1000000/12+1000000/($H$54*12)*0.9,0))+(ROUNDDOWN(PMT((C17+C18)/12,C61*12,-1000000),5)*0.1)</f>
        <v>3427.1719419999999</v>
      </c>
    </row>
    <row r="68" spans="1:18" ht="15" customHeight="1">
      <c r="A68" s="83"/>
      <c r="B68" t="s">
        <v>244</v>
      </c>
      <c r="C68" s="82">
        <f>MIN(8000-M72,ROUNDDOWN($H$46*1000000/(12*M71)-M72,0))</f>
        <v>0</v>
      </c>
      <c r="D68" t="s">
        <v>14</v>
      </c>
      <c r="F68" s="1203"/>
      <c r="G68" t="s">
        <v>238</v>
      </c>
      <c r="H68" s="82">
        <f>MIN(8000,ROUNDDOWN($H$46*1000000/(12*H67),0))</f>
        <v>0</v>
      </c>
      <c r="I68" t="s">
        <v>14</v>
      </c>
      <c r="K68" s="1203"/>
      <c r="L68" t="s">
        <v>238</v>
      </c>
      <c r="M68" s="81">
        <f t="shared" ref="M68" si="1">MIN(8000,ROUNDDOWN($H$46*1000000/(12*M67),0))</f>
        <v>0</v>
      </c>
      <c r="N68" s="72" t="s">
        <v>14</v>
      </c>
    </row>
    <row r="69" spans="1:18" ht="15" customHeight="1">
      <c r="A69" s="83"/>
      <c r="F69" s="1203"/>
      <c r="G69" t="s">
        <v>245</v>
      </c>
      <c r="H69" s="68">
        <f>PMT((C17+C18)/12,H54*12,-1000000)</f>
        <v>2593.9779869423842</v>
      </c>
      <c r="K69" s="1203"/>
      <c r="L69" t="s">
        <v>245</v>
      </c>
      <c r="M69">
        <f>-ISPMT((C17+C18)/12,0,($H$54*12),1000000)+(1000000/($H$54*12))</f>
        <v>3266.666666666667</v>
      </c>
      <c r="N69" s="72"/>
    </row>
    <row r="70" spans="1:18" ht="15" customHeight="1">
      <c r="A70" s="83"/>
      <c r="F70" s="1203"/>
      <c r="G70" t="s">
        <v>238</v>
      </c>
      <c r="H70" s="82">
        <f>MIN(8000,ROUNDDOWN($H$46*1000000/(12*H69),0))</f>
        <v>0</v>
      </c>
      <c r="I70" t="s">
        <v>14</v>
      </c>
      <c r="K70" s="1203"/>
      <c r="L70" t="s">
        <v>238</v>
      </c>
      <c r="M70" s="81">
        <f>MIN(8000,ROUNDDOWN($H$46*1000000/(12*M69),0))</f>
        <v>0</v>
      </c>
      <c r="N70" s="72" t="s">
        <v>14</v>
      </c>
    </row>
    <row r="71" spans="1:18" ht="15" customHeight="1">
      <c r="A71" s="83"/>
      <c r="F71" s="1203"/>
      <c r="G71" t="s">
        <v>246</v>
      </c>
      <c r="H71" s="68">
        <f>ROUNDDOWN(PMT((C17+C18)/12,H54*12,-1000000),5)*0.9+ROUNDDOWN(PMT((C17+C18)/12,C61*12,-1000000),5)*0.1</f>
        <v>2661.7521240000001</v>
      </c>
      <c r="K71" s="1203"/>
      <c r="L71" t="s">
        <v>247</v>
      </c>
      <c r="M71">
        <f>(-ISPMT((C17+C18)/12,0,($H$54*12),1000000)+(1000000/($H$54*12))*0.9)+(ROUNDDOWN(PMT((C17+C18)/12,C61*12,-1000000),5)*0.1)</f>
        <v>3427.1719419999999</v>
      </c>
      <c r="N71" s="72"/>
    </row>
    <row r="72" spans="1:18" ht="15" customHeight="1">
      <c r="A72" s="83"/>
      <c r="G72" t="s">
        <v>238</v>
      </c>
      <c r="H72" s="82">
        <f>MIN(8000,ROUNDDOWN($H$46*1000000/(12*H71)*0.9,0))</f>
        <v>0</v>
      </c>
      <c r="I72" t="s">
        <v>14</v>
      </c>
      <c r="L72" t="s">
        <v>238</v>
      </c>
      <c r="M72" s="81">
        <f>MIN(8000,ROUNDDOWN($H$46*1000000/(12*M71)*0.9,0))</f>
        <v>0</v>
      </c>
      <c r="N72" s="72" t="s">
        <v>14</v>
      </c>
    </row>
    <row r="73" spans="1:18" ht="15" customHeight="1">
      <c r="A73" s="78"/>
      <c r="B73" s="79"/>
      <c r="C73" s="79"/>
      <c r="D73" s="79"/>
      <c r="E73" s="79"/>
      <c r="F73" s="79"/>
      <c r="G73" s="79"/>
      <c r="H73" s="79"/>
      <c r="I73" s="79"/>
      <c r="J73" s="79"/>
      <c r="K73" s="79"/>
      <c r="L73" s="79"/>
      <c r="M73" s="79"/>
      <c r="N73" s="80"/>
    </row>
    <row r="74" spans="1:18" ht="15" customHeight="1">
      <c r="A74" s="85"/>
      <c r="C74" s="84"/>
      <c r="D74" s="108"/>
    </row>
    <row r="75" spans="1:18" ht="15" customHeight="1">
      <c r="A75" s="1199" t="s">
        <v>248</v>
      </c>
      <c r="B75" s="1200"/>
      <c r="C75" s="1200"/>
      <c r="D75" s="1200"/>
      <c r="E75" s="1200"/>
      <c r="F75" s="1200"/>
      <c r="G75" s="1200"/>
      <c r="H75" s="1200"/>
      <c r="I75" s="1200"/>
      <c r="J75" s="1200"/>
      <c r="K75" s="1200"/>
      <c r="L75" s="1200"/>
      <c r="M75" s="1200"/>
      <c r="N75" s="1201"/>
    </row>
    <row r="76" spans="1:18" ht="15" customHeight="1">
      <c r="A76" s="83"/>
      <c r="N76" s="72"/>
    </row>
    <row r="77" spans="1:18" ht="15" customHeight="1">
      <c r="A77" s="83"/>
      <c r="C77" s="77"/>
      <c r="G77" t="s">
        <v>249</v>
      </c>
      <c r="H77" s="77">
        <f>入力シート!G52</f>
        <v>1</v>
      </c>
      <c r="I77" t="s">
        <v>14</v>
      </c>
      <c r="L77" t="s">
        <v>250</v>
      </c>
      <c r="M77" s="77">
        <f>入力シート!G58</f>
        <v>0</v>
      </c>
      <c r="N77" s="72" t="s">
        <v>72</v>
      </c>
    </row>
    <row r="78" spans="1:18" ht="15" customHeight="1">
      <c r="A78" s="83"/>
      <c r="B78" t="s">
        <v>123</v>
      </c>
      <c r="C78" t="s">
        <v>251</v>
      </c>
      <c r="L78" t="s">
        <v>252</v>
      </c>
      <c r="M78" s="77">
        <f>入力シート!G59</f>
        <v>0</v>
      </c>
      <c r="N78" s="72" t="s">
        <v>14</v>
      </c>
    </row>
    <row r="79" spans="1:18" ht="15" customHeight="1">
      <c r="A79" s="83"/>
      <c r="B79" t="s">
        <v>253</v>
      </c>
      <c r="C79">
        <f>資金計画!U5</f>
        <v>1</v>
      </c>
      <c r="G79" t="s">
        <v>254</v>
      </c>
      <c r="H79" s="68" t="e">
        <f>ROUNDDOWN(PMT(C88/12,C82*12,-H77*10000),0)</f>
        <v>#NUM!</v>
      </c>
      <c r="I79" t="s">
        <v>61</v>
      </c>
      <c r="N79" s="72"/>
    </row>
    <row r="80" spans="1:18" ht="15" customHeight="1">
      <c r="A80" s="83"/>
      <c r="B80" t="s">
        <v>255</v>
      </c>
      <c r="C80" s="77" t="b">
        <v>0</v>
      </c>
      <c r="G80" t="s">
        <v>256</v>
      </c>
      <c r="H80" s="84" t="e">
        <f>ROUNDDOWN(-ISPMT(C88/12,0,(C82*12),H77*10000)+(H77*10000/(C82*12)),0)</f>
        <v>#DIV/0!</v>
      </c>
      <c r="I80" t="s">
        <v>61</v>
      </c>
      <c r="K80" s="1203" t="s">
        <v>257</v>
      </c>
      <c r="L80" t="s">
        <v>258</v>
      </c>
      <c r="M80" s="84" t="e">
        <f>H46*10000/12-H81</f>
        <v>#NUM!</v>
      </c>
      <c r="N80" s="72" t="s">
        <v>61</v>
      </c>
    </row>
    <row r="81" spans="1:14" ht="15" customHeight="1">
      <c r="A81" s="83"/>
      <c r="B81" t="s">
        <v>259</v>
      </c>
      <c r="C81">
        <f>IF(IF(C80=TRUE,3-C79,C79)=1,0.9,1)</f>
        <v>0.9</v>
      </c>
      <c r="G81" t="s">
        <v>260</v>
      </c>
      <c r="H81" s="82" t="e">
        <f>IF(H18=1,H79,H80)</f>
        <v>#NUM!</v>
      </c>
      <c r="I81" t="s">
        <v>61</v>
      </c>
      <c r="K81" s="1203"/>
      <c r="L81" t="s">
        <v>261</v>
      </c>
      <c r="M81" s="68" t="e">
        <f>PMT(M146/12,M77*12,-1000000)</f>
        <v>#NUM!</v>
      </c>
      <c r="N81" s="72" t="s">
        <v>61</v>
      </c>
    </row>
    <row r="82" spans="1:14" ht="15" customHeight="1">
      <c r="A82" s="83"/>
      <c r="B82" t="s">
        <v>262</v>
      </c>
      <c r="C82" s="77">
        <f>入力シート!G51</f>
        <v>0</v>
      </c>
      <c r="K82" s="1203"/>
      <c r="L82" t="s">
        <v>263</v>
      </c>
      <c r="M82" s="77">
        <f>入力シート!G45+入力シート!G46+入力シート!G48-入力シート!G52</f>
        <v>-1</v>
      </c>
      <c r="N82" s="72" t="s">
        <v>14</v>
      </c>
    </row>
    <row r="83" spans="1:14" ht="15" customHeight="1">
      <c r="A83" s="83"/>
      <c r="F83" s="1203" t="s">
        <v>264</v>
      </c>
      <c r="G83" t="s">
        <v>235</v>
      </c>
      <c r="H83" s="90" t="e">
        <f>PMT(C88/12,C82*12,-1000000)</f>
        <v>#NUM!</v>
      </c>
      <c r="K83" s="1203"/>
      <c r="L83" t="s">
        <v>265</v>
      </c>
      <c r="M83" s="81" t="str">
        <f>IF(M77=0,"",MIN(M34,M82,ROUNDDOWN(M80/M81,2)*100))</f>
        <v/>
      </c>
      <c r="N83" s="72" t="s">
        <v>14</v>
      </c>
    </row>
    <row r="84" spans="1:14" ht="15" customHeight="1">
      <c r="A84" s="83"/>
      <c r="B84" t="s">
        <v>266</v>
      </c>
      <c r="C84" s="74">
        <f>IF(H21&gt;1,C16,IF(C82&gt;35,C17,IF(C82&gt;20,C16,C15)))</f>
        <v>1.23E-2</v>
      </c>
      <c r="F84" s="1203"/>
      <c r="G84" t="s">
        <v>267</v>
      </c>
      <c r="H84" t="e">
        <f>MIN(8000,ROUNDDOWN($H$46*1000000/(12*H83),0))</f>
        <v>#NUM!</v>
      </c>
      <c r="I84" t="s">
        <v>14</v>
      </c>
      <c r="N84" s="72"/>
    </row>
    <row r="85" spans="1:14" ht="15" customHeight="1">
      <c r="A85" s="83"/>
      <c r="B85" t="s">
        <v>268</v>
      </c>
      <c r="C85" s="74">
        <f>IF(C78="軽減型",H16,0)</f>
        <v>0</v>
      </c>
      <c r="F85" s="1203" t="s">
        <v>269</v>
      </c>
      <c r="G85" t="s">
        <v>270</v>
      </c>
      <c r="H85" s="90" t="e">
        <f>-ISPMT(C88/12,0,(入力シート!G51*12),1000000)+(1000000/(入力シート!G51*12))</f>
        <v>#DIV/0!</v>
      </c>
      <c r="L85" t="s">
        <v>271</v>
      </c>
      <c r="M85" s="87" t="e">
        <f>H81</f>
        <v>#NUM!</v>
      </c>
      <c r="N85" s="72"/>
    </row>
    <row r="86" spans="1:14" ht="15" customHeight="1">
      <c r="A86" s="83"/>
      <c r="B86" t="s">
        <v>272</v>
      </c>
      <c r="C86" s="74">
        <f>IF(C81=1,C21,0)</f>
        <v>0</v>
      </c>
      <c r="F86" s="1203"/>
      <c r="G86" t="s">
        <v>273</v>
      </c>
      <c r="H86" t="e">
        <f>MIN(8000,ROUNDDOWN($H$46*1000000/(12*H85),0))</f>
        <v>#DIV/0!</v>
      </c>
      <c r="I86" t="s">
        <v>14</v>
      </c>
      <c r="L86" t="s">
        <v>274</v>
      </c>
      <c r="M86" s="87">
        <f>C143</f>
        <v>0</v>
      </c>
      <c r="N86" s="72"/>
    </row>
    <row r="87" spans="1:14" ht="15" customHeight="1">
      <c r="A87" s="83"/>
      <c r="B87" t="s">
        <v>275</v>
      </c>
      <c r="C87" s="74">
        <f>-IF(H21=2,H22,IF(H21=3,H23,0))</f>
        <v>0</v>
      </c>
      <c r="G87" t="s">
        <v>276</v>
      </c>
      <c r="H87" t="e">
        <f>MIN(ROUNDDOWN((C95+C96)*計算シート!C81,0),IF(H18=1,H84,H86))</f>
        <v>#NUM!</v>
      </c>
      <c r="I87" t="s">
        <v>14</v>
      </c>
      <c r="L87" t="s">
        <v>277</v>
      </c>
      <c r="M87" s="68">
        <f>H190</f>
        <v>0</v>
      </c>
    </row>
    <row r="88" spans="1:14" ht="15" customHeight="1">
      <c r="A88" s="83"/>
      <c r="B88" t="s">
        <v>278</v>
      </c>
      <c r="C88" s="89">
        <f>SUM(C84:C87)+M15</f>
        <v>1.43E-2</v>
      </c>
      <c r="L88" t="s">
        <v>279</v>
      </c>
      <c r="M88" s="68">
        <f>H199</f>
        <v>0</v>
      </c>
    </row>
    <row r="89" spans="1:14" ht="15" customHeight="1">
      <c r="A89" s="83"/>
      <c r="B89" t="s">
        <v>280</v>
      </c>
      <c r="C89" s="89">
        <f>SUM(C84:C87)+H106</f>
        <v>1.43E-2</v>
      </c>
      <c r="L89" t="s">
        <v>83</v>
      </c>
      <c r="M89" s="91" t="e">
        <f>ROUNDDOWN(((M85+M86+M87+M88)*12+H45*10000)/((H42+H43)*10000)*100,3)</f>
        <v>#NUM!</v>
      </c>
      <c r="N89" s="72" t="s">
        <v>84</v>
      </c>
    </row>
    <row r="90" spans="1:14" ht="15" customHeight="1">
      <c r="A90" s="78"/>
      <c r="B90" s="79"/>
      <c r="C90" s="79"/>
      <c r="D90" s="79"/>
      <c r="E90" s="79"/>
      <c r="F90" s="79"/>
      <c r="G90" s="79"/>
      <c r="H90" s="79"/>
      <c r="I90" s="79"/>
      <c r="J90" s="79"/>
      <c r="K90" s="79"/>
      <c r="L90" s="79"/>
      <c r="M90" s="79"/>
      <c r="N90" s="80"/>
    </row>
    <row r="93" spans="1:14" ht="15" customHeight="1">
      <c r="A93" s="1199" t="s">
        <v>281</v>
      </c>
      <c r="B93" s="1200"/>
      <c r="C93" s="1200"/>
      <c r="D93" s="1200"/>
      <c r="E93" s="1200"/>
      <c r="F93" s="1200"/>
      <c r="G93" s="1200"/>
      <c r="H93" s="1200"/>
      <c r="I93" s="1200"/>
      <c r="J93" s="1200"/>
      <c r="K93" s="1200"/>
      <c r="L93" s="1200"/>
      <c r="M93" s="1200"/>
      <c r="N93" s="1201"/>
    </row>
    <row r="94" spans="1:14" ht="15" customHeight="1">
      <c r="A94" s="69"/>
      <c r="B94" s="70"/>
      <c r="C94" s="70"/>
      <c r="D94" s="70"/>
      <c r="N94" s="72"/>
    </row>
    <row r="95" spans="1:14" ht="15" customHeight="1">
      <c r="A95" s="83"/>
      <c r="B95" t="s">
        <v>60</v>
      </c>
      <c r="C95" s="77">
        <f>入力シート!G45</f>
        <v>0</v>
      </c>
      <c r="F95" s="1203" t="s">
        <v>167</v>
      </c>
      <c r="G95" s="84" t="s">
        <v>282</v>
      </c>
      <c r="H95" s="84">
        <v>1</v>
      </c>
      <c r="N95" s="72"/>
    </row>
    <row r="96" spans="1:14" ht="15" customHeight="1">
      <c r="A96" s="83"/>
      <c r="B96" t="s">
        <v>62</v>
      </c>
      <c r="C96" s="77">
        <f>入力シート!G46</f>
        <v>0</v>
      </c>
      <c r="F96" s="1203"/>
      <c r="G96" s="84" t="s">
        <v>283</v>
      </c>
      <c r="H96" s="84">
        <v>1</v>
      </c>
      <c r="N96" s="72"/>
    </row>
    <row r="97" spans="1:14" ht="15" customHeight="1">
      <c r="A97" s="83"/>
      <c r="F97" s="1203"/>
      <c r="G97" s="84" t="s">
        <v>284</v>
      </c>
      <c r="H97" s="84">
        <v>1</v>
      </c>
      <c r="N97" s="72"/>
    </row>
    <row r="98" spans="1:14" ht="15" customHeight="1">
      <c r="A98" s="83"/>
      <c r="B98" t="s">
        <v>285</v>
      </c>
      <c r="C98" s="82">
        <f>資金計画!K20</f>
        <v>1</v>
      </c>
      <c r="F98" s="280"/>
      <c r="N98" s="72"/>
    </row>
    <row r="99" spans="1:14" ht="15" customHeight="1">
      <c r="A99" s="83"/>
      <c r="B99" t="s">
        <v>286</v>
      </c>
      <c r="C99" s="82">
        <f>資金計画!K21</f>
        <v>0</v>
      </c>
      <c r="G99" s="84" t="s">
        <v>287</v>
      </c>
      <c r="H99" s="74">
        <f>IF(H95=1,M15,IF(H21&lt;2,0,M19))</f>
        <v>2E-3</v>
      </c>
      <c r="N99" s="72"/>
    </row>
    <row r="100" spans="1:14" ht="15" customHeight="1">
      <c r="A100" s="83"/>
      <c r="F100" s="1203" t="s">
        <v>288</v>
      </c>
      <c r="G100" s="84"/>
      <c r="H100" s="74"/>
      <c r="N100" s="72"/>
    </row>
    <row r="101" spans="1:14" ht="15" customHeight="1">
      <c r="A101" s="83"/>
      <c r="B101" s="84" t="s">
        <v>289</v>
      </c>
      <c r="C101" s="84">
        <f>H188</f>
        <v>0</v>
      </c>
      <c r="F101" s="1203"/>
      <c r="G101" s="84" t="s">
        <v>290</v>
      </c>
      <c r="H101" s="74">
        <f>IF(H95=2,0,IF(AND(OR(H21=0,H21=1),H97=2),M16,0))</f>
        <v>0</v>
      </c>
      <c r="N101" s="72"/>
    </row>
    <row r="102" spans="1:14" ht="15" customHeight="1">
      <c r="A102" s="83"/>
      <c r="B102" s="84" t="s">
        <v>291</v>
      </c>
      <c r="C102" s="82">
        <f>資金計画!K26</f>
        <v>0</v>
      </c>
      <c r="F102" s="1203"/>
      <c r="G102" s="84" t="s">
        <v>292</v>
      </c>
      <c r="H102" s="74">
        <f>IF(H95=2,0,IF(AND(OR(H21=0,H21=1),H96=2),M17,0))</f>
        <v>0</v>
      </c>
      <c r="N102" s="72"/>
    </row>
    <row r="103" spans="1:14" ht="15" customHeight="1">
      <c r="A103" s="83"/>
      <c r="B103" s="84" t="s">
        <v>293</v>
      </c>
      <c r="C103" s="82">
        <f>資金計画!K27</f>
        <v>0</v>
      </c>
      <c r="F103" s="1203"/>
      <c r="G103" s="84" t="s">
        <v>294</v>
      </c>
      <c r="H103" s="74">
        <f>IF(H95=2,0,IF(AND(H21&gt;1,H96=2),M20,0))</f>
        <v>0</v>
      </c>
      <c r="N103" s="72"/>
    </row>
    <row r="104" spans="1:14" ht="15" customHeight="1">
      <c r="A104" s="83"/>
      <c r="G104" s="84" t="s">
        <v>295</v>
      </c>
      <c r="H104" s="74">
        <f>IF(H95=2,0,IF(AND(H21&gt;1,H96=3),M21,0))</f>
        <v>0</v>
      </c>
      <c r="N104" s="72"/>
    </row>
    <row r="105" spans="1:14" ht="15" customHeight="1">
      <c r="A105" s="83"/>
      <c r="G105" s="84" t="s">
        <v>296</v>
      </c>
      <c r="H105" s="74">
        <f>IF(H95=2,0,IF(AND(H21&gt;1,H96=4),M22,0))</f>
        <v>0</v>
      </c>
      <c r="N105" s="72"/>
    </row>
    <row r="106" spans="1:14" ht="15" customHeight="1">
      <c r="A106" s="83"/>
      <c r="G106" s="84" t="s">
        <v>297</v>
      </c>
      <c r="H106" s="89">
        <f>SUM(H99:H105)</f>
        <v>2E-3</v>
      </c>
      <c r="N106" s="72"/>
    </row>
    <row r="107" spans="1:14" ht="15" customHeight="1">
      <c r="A107" s="78"/>
      <c r="B107" s="79"/>
      <c r="C107" s="79"/>
      <c r="D107" s="79"/>
      <c r="E107" s="79"/>
      <c r="F107" s="79"/>
      <c r="G107" s="79"/>
      <c r="H107" s="79"/>
      <c r="I107" s="79"/>
      <c r="J107" s="79"/>
      <c r="K107" s="79"/>
      <c r="L107" s="79"/>
      <c r="M107" s="79"/>
      <c r="N107" s="80"/>
    </row>
    <row r="110" spans="1:14" ht="15" customHeight="1">
      <c r="A110" s="1199" t="s">
        <v>298</v>
      </c>
      <c r="B110" s="1200"/>
      <c r="C110" s="1200"/>
      <c r="D110" s="1200"/>
      <c r="E110" s="1200"/>
      <c r="F110" s="1200"/>
      <c r="G110" s="1200"/>
      <c r="H110" s="1200"/>
      <c r="I110" s="1200"/>
      <c r="J110" s="1200"/>
      <c r="K110" s="1200"/>
      <c r="L110" s="1200"/>
      <c r="M110" s="1200"/>
      <c r="N110" s="1201"/>
    </row>
    <row r="111" spans="1:14" ht="15" customHeight="1">
      <c r="A111" s="83"/>
      <c r="N111" s="72"/>
    </row>
    <row r="112" spans="1:14" ht="15" customHeight="1">
      <c r="A112" s="83"/>
      <c r="B112" t="s">
        <v>299</v>
      </c>
      <c r="C112" s="92">
        <f>H77-C114</f>
        <v>1</v>
      </c>
      <c r="D112" t="s">
        <v>14</v>
      </c>
      <c r="G112" s="95" t="str">
        <f>C118+1&amp;"年目～"</f>
        <v>1年目～</v>
      </c>
      <c r="H112" s="74">
        <f>C122</f>
        <v>1.43E-2</v>
      </c>
    </row>
    <row r="113" spans="1:17" ht="15" customHeight="1">
      <c r="A113" s="83"/>
      <c r="B113" t="s">
        <v>300</v>
      </c>
      <c r="C113" s="92" t="e">
        <f>ROUNDDOWN(PMT(C89/12,C82*12,-C112*10000),0)</f>
        <v>#NUM!</v>
      </c>
      <c r="D113" t="s">
        <v>61</v>
      </c>
      <c r="G113" t="s">
        <v>301</v>
      </c>
      <c r="H113" s="84" t="e">
        <f>C112*10000-ROUNDDOWN(-CUMPRINC(C119/12,C82*12,C112*10000,1,C118*12,0),0)</f>
        <v>#NUM!</v>
      </c>
      <c r="I113" t="s">
        <v>61</v>
      </c>
      <c r="L113" t="s">
        <v>302</v>
      </c>
      <c r="M113" s="84" t="e">
        <f>C114*10000-ROUNDDOWN(-CUMPRINC(C119/2,C82*2,C114*10000,1,C118*2,0),0)</f>
        <v>#NUM!</v>
      </c>
      <c r="N113" t="s">
        <v>61</v>
      </c>
    </row>
    <row r="114" spans="1:17" ht="15" customHeight="1">
      <c r="A114" s="83"/>
      <c r="B114" t="s">
        <v>303</v>
      </c>
      <c r="C114" s="92">
        <f>入力シート!G74</f>
        <v>0</v>
      </c>
      <c r="D114" t="s">
        <v>14</v>
      </c>
      <c r="M114" s="84"/>
    </row>
    <row r="115" spans="1:17" ht="15" customHeight="1">
      <c r="A115" s="83"/>
      <c r="B115" t="s">
        <v>304</v>
      </c>
      <c r="C115" s="92" t="e">
        <f>ROUNDDOWN(PMT(C89/2,C82*2,-C114*10000),0)</f>
        <v>#NUM!</v>
      </c>
      <c r="D115" t="s">
        <v>61</v>
      </c>
      <c r="G115" t="s">
        <v>299</v>
      </c>
      <c r="H115" s="87" t="e">
        <f>ROUNDDOWN(PMT(H112/12,(C82-C118)*12,-H113),0)</f>
        <v>#NUM!</v>
      </c>
      <c r="I115" t="s">
        <v>61</v>
      </c>
      <c r="L115" t="s">
        <v>305</v>
      </c>
      <c r="M115" s="87" t="e">
        <f>IF(C130=0,"",ROUNDDOWN(PMT(H112/2,(C82-C118)*2,-M113),0))</f>
        <v>#NUM!</v>
      </c>
      <c r="N115" t="s">
        <v>61</v>
      </c>
    </row>
    <row r="116" spans="1:17" ht="15" customHeight="1">
      <c r="A116" s="83"/>
      <c r="G116" t="s">
        <v>306</v>
      </c>
      <c r="H116" s="84" t="e">
        <f>ROUNDDOWN(-ISPMT(H112/12,C118*12+1,($C$82*12),C112*10000)+(C112*10000/(C82*12)),0)</f>
        <v>#DIV/0!</v>
      </c>
      <c r="I116" t="s">
        <v>61</v>
      </c>
      <c r="L116" t="s">
        <v>307</v>
      </c>
      <c r="M116" s="84" t="e">
        <f>ROUNDDOWN(-ISPMT(H112/2,C118*2+1,$C$82*2,C114*10000)+(C114*10000/($C$82*2)),0)</f>
        <v>#DIV/0!</v>
      </c>
      <c r="N116" t="s">
        <v>61</v>
      </c>
    </row>
    <row r="117" spans="1:17" ht="15" customHeight="1">
      <c r="A117" s="83"/>
      <c r="G117" t="s">
        <v>308</v>
      </c>
      <c r="H117" s="82" t="e">
        <f>IF(H18=1,H115,H116)</f>
        <v>#NUM!</v>
      </c>
      <c r="I117" t="s">
        <v>61</v>
      </c>
      <c r="L117" t="s">
        <v>308</v>
      </c>
      <c r="M117" s="82" t="e">
        <f>IF(H18=1,M115,M116)</f>
        <v>#NUM!</v>
      </c>
      <c r="N117" t="s">
        <v>61</v>
      </c>
    </row>
    <row r="118" spans="1:17" ht="15" customHeight="1">
      <c r="A118" s="83"/>
      <c r="B118" s="95" t="s">
        <v>154</v>
      </c>
      <c r="C118">
        <f>M8</f>
        <v>0</v>
      </c>
      <c r="D118" t="s">
        <v>155</v>
      </c>
      <c r="H118" s="84"/>
      <c r="M118" s="84"/>
    </row>
    <row r="119" spans="1:17" ht="15" customHeight="1">
      <c r="A119" s="83"/>
      <c r="B119" s="95"/>
      <c r="C119" s="74">
        <f>C89-M9/100</f>
        <v>1.43E-2</v>
      </c>
      <c r="G119" s="95" t="str">
        <f>C123&amp;"年目～"</f>
        <v>1年目～</v>
      </c>
      <c r="H119" s="74">
        <f>C124</f>
        <v>1.43E-2</v>
      </c>
      <c r="M119" s="87"/>
      <c r="Q119">
        <v>3</v>
      </c>
    </row>
    <row r="120" spans="1:17" ht="15" customHeight="1">
      <c r="A120" s="83"/>
      <c r="B120" s="95" t="s">
        <v>165</v>
      </c>
      <c r="C120">
        <f>M11</f>
        <v>0</v>
      </c>
      <c r="D120" t="s">
        <v>155</v>
      </c>
      <c r="G120" t="s">
        <v>301</v>
      </c>
      <c r="H120" s="84" t="e">
        <f>H113-ROUNDDOWN(-CUMPRINC(H112/12,(C82-C118)*12,H113,1,C120*12,0),0)</f>
        <v>#NUM!</v>
      </c>
      <c r="I120" t="s">
        <v>61</v>
      </c>
      <c r="L120" t="s">
        <v>302</v>
      </c>
      <c r="M120" s="84" t="e">
        <f>M113-ROUNDDOWN(-CUMPRINC(C122/2,(C82-C118)*2,M113,1,C118*2,0),0)</f>
        <v>#NUM!</v>
      </c>
      <c r="N120" t="s">
        <v>61</v>
      </c>
      <c r="Q120">
        <f>IF(Q119&gt;C123,C124,IF(Q119&gt;C121,C122,C119))</f>
        <v>1.43E-2</v>
      </c>
    </row>
    <row r="121" spans="1:17" ht="15" customHeight="1">
      <c r="B121" s="95" t="s">
        <v>309</v>
      </c>
      <c r="C121">
        <f>C118+1</f>
        <v>1</v>
      </c>
      <c r="D121" t="s">
        <v>310</v>
      </c>
      <c r="M121" s="84"/>
    </row>
    <row r="122" spans="1:17" ht="15" customHeight="1">
      <c r="A122" s="83"/>
      <c r="C122" s="74">
        <f>C89-M12/100</f>
        <v>1.43E-2</v>
      </c>
      <c r="G122" t="s">
        <v>299</v>
      </c>
      <c r="H122" s="87" t="e">
        <f>ROUNDDOWN(PMT(H119/12,(C82-C118-C120)*12,-H120),0)</f>
        <v>#NUM!</v>
      </c>
      <c r="I122" t="s">
        <v>61</v>
      </c>
      <c r="L122" t="s">
        <v>305</v>
      </c>
      <c r="M122" s="87" t="e">
        <f>ROUNDDOWN(PMT(C124/2,(C82-C118-C120)*2,-M120),0)</f>
        <v>#NUM!</v>
      </c>
      <c r="N122" t="s">
        <v>61</v>
      </c>
    </row>
    <row r="123" spans="1:17" ht="15" customHeight="1">
      <c r="A123" s="83"/>
      <c r="B123" s="95" t="s">
        <v>311</v>
      </c>
      <c r="C123">
        <f>C118+C120+1</f>
        <v>1</v>
      </c>
      <c r="D123" t="s">
        <v>310</v>
      </c>
      <c r="G123" t="s">
        <v>306</v>
      </c>
      <c r="H123" s="84" t="e">
        <f>ROUNDDOWN(-ISPMT(H119/12,(C118+C120)*12+1,($C$82*12),C112*10000)+(C112*10000/(C82*12)),0)</f>
        <v>#DIV/0!</v>
      </c>
      <c r="I123" t="s">
        <v>61</v>
      </c>
      <c r="L123" t="s">
        <v>307</v>
      </c>
      <c r="M123" s="84" t="e">
        <f>ROUNDDOWN(-ISPMT(H119/2,(C118+C120)*2+1,$C$82*2,C114*10000)+(C114*10000/($C$82*2)),0)</f>
        <v>#DIV/0!</v>
      </c>
      <c r="N123" t="s">
        <v>61</v>
      </c>
    </row>
    <row r="124" spans="1:17" ht="15" customHeight="1">
      <c r="A124" s="83"/>
      <c r="C124" s="74">
        <f>C89</f>
        <v>1.43E-2</v>
      </c>
      <c r="G124" t="s">
        <v>308</v>
      </c>
      <c r="H124" s="82" t="e">
        <f>IF(H18=1,H122,H123)</f>
        <v>#NUM!</v>
      </c>
      <c r="I124" t="s">
        <v>61</v>
      </c>
      <c r="L124" t="s">
        <v>308</v>
      </c>
      <c r="M124" s="82" t="e">
        <f>IF(H25=1,M122,M123)</f>
        <v>#DIV/0!</v>
      </c>
      <c r="N124" t="s">
        <v>61</v>
      </c>
    </row>
    <row r="125" spans="1:17" ht="15" customHeight="1">
      <c r="A125" s="83"/>
      <c r="M125" s="87"/>
    </row>
    <row r="126" spans="1:17" ht="15" customHeight="1">
      <c r="A126" s="83"/>
      <c r="B126" t="s">
        <v>299</v>
      </c>
      <c r="C126" s="87" t="e">
        <f>ROUNDDOWN(PMT(C119/12,C82*12,-C112*10000),0)</f>
        <v>#NUM!</v>
      </c>
      <c r="D126" t="s">
        <v>61</v>
      </c>
      <c r="M126" s="84"/>
    </row>
    <row r="127" spans="1:17" ht="15" customHeight="1">
      <c r="A127" s="83"/>
      <c r="B127" t="s">
        <v>312</v>
      </c>
      <c r="C127" s="84" t="e">
        <f>ROUNDDOWN(-ISPMT(C119/12,0,($C$82*12),C112*10000)+(C112*10000/(C82*12)),0)</f>
        <v>#DIV/0!</v>
      </c>
      <c r="D127" t="s">
        <v>61</v>
      </c>
      <c r="M127" s="84"/>
    </row>
    <row r="128" spans="1:17" ht="15" customHeight="1">
      <c r="A128" s="83"/>
      <c r="B128" t="s">
        <v>308</v>
      </c>
      <c r="C128" s="82" t="e">
        <f>IF(H18=1,C126,C127)</f>
        <v>#NUM!</v>
      </c>
      <c r="D128" t="s">
        <v>61</v>
      </c>
      <c r="N128" s="72"/>
    </row>
    <row r="129" spans="1:14" ht="15" customHeight="1">
      <c r="A129" s="83"/>
      <c r="L129" t="s">
        <v>313</v>
      </c>
      <c r="M129" s="84">
        <f>IF(H77*H7*10000&gt;H13,H77*H7*10000,H13)</f>
        <v>220000.00000000003</v>
      </c>
      <c r="N129" s="72"/>
    </row>
    <row r="130" spans="1:14" ht="15" customHeight="1">
      <c r="A130" s="83"/>
      <c r="B130" t="s">
        <v>314</v>
      </c>
      <c r="C130" s="87" t="e">
        <f>ROUNDDOWN(PMT(C119/2,C82*2,-C114*10000),0)</f>
        <v>#NUM!</v>
      </c>
      <c r="D130" t="s">
        <v>61</v>
      </c>
      <c r="L130" t="s">
        <v>315</v>
      </c>
      <c r="M130" s="82">
        <f>IF(C78="軽減型",H15,M129)</f>
        <v>220000.00000000003</v>
      </c>
      <c r="N130" s="72" t="s">
        <v>61</v>
      </c>
    </row>
    <row r="131" spans="1:14" ht="15" customHeight="1">
      <c r="A131" s="83"/>
      <c r="B131" t="s">
        <v>316</v>
      </c>
      <c r="C131" s="84" t="e">
        <f>ROUNDDOWN(-ISPMT(C119/2,0,($C$82*2),C114*10000)+(C114*10000/($C$82*2)),0)</f>
        <v>#DIV/0!</v>
      </c>
      <c r="D131" t="s">
        <v>61</v>
      </c>
      <c r="N131" s="72"/>
    </row>
    <row r="132" spans="1:14" ht="15" customHeight="1">
      <c r="A132" s="83"/>
      <c r="B132" t="s">
        <v>308</v>
      </c>
      <c r="C132" s="82" t="e">
        <f>IF(H18=1,C130,C131)</f>
        <v>#NUM!</v>
      </c>
      <c r="D132" t="s">
        <v>61</v>
      </c>
      <c r="L132" t="s">
        <v>317</v>
      </c>
      <c r="N132" s="72"/>
    </row>
    <row r="133" spans="1:14" ht="15" customHeight="1">
      <c r="A133" s="83"/>
      <c r="L133" s="95" t="s">
        <v>318</v>
      </c>
      <c r="M133" s="84" t="e">
        <f>ROUNDDOWN(-ISPMT(IF(C118=5,H112,C119)/12,61,($C$82*12),C112*10000)+(C112*10000/(C82*12)),0)</f>
        <v>#DIV/0!</v>
      </c>
      <c r="N133" s="72" t="s">
        <v>61</v>
      </c>
    </row>
    <row r="134" spans="1:14" ht="15" customHeight="1">
      <c r="A134" s="83"/>
      <c r="L134" s="95" t="s">
        <v>319</v>
      </c>
      <c r="M134" s="84" t="e">
        <f>ROUNDDOWN(-ISPMT(H112/12,121,($C$82*12),C112*10000)+(C112*10000/(C82*12)),0)</f>
        <v>#DIV/0!</v>
      </c>
      <c r="N134" s="72" t="s">
        <v>61</v>
      </c>
    </row>
    <row r="135" spans="1:14" ht="15" customHeight="1">
      <c r="A135" s="83"/>
      <c r="L135" s="95" t="s">
        <v>320</v>
      </c>
      <c r="M135" s="84" t="e">
        <f>ROUNDDOWN(-ISPMT(IF(C118=5,H112,C119)/2,11,($C$82*2),C114*10000)+(C114*10000/(C82*2)),0)</f>
        <v>#DIV/0!</v>
      </c>
      <c r="N135" s="72" t="s">
        <v>61</v>
      </c>
    </row>
    <row r="136" spans="1:14" ht="15" customHeight="1">
      <c r="A136" s="83"/>
      <c r="L136" s="95" t="s">
        <v>321</v>
      </c>
      <c r="M136" s="84" t="e">
        <f>ROUNDDOWN(-ISPMT(H112/2,21,($C$82*2),C114*10000)+(C114*10000/($C$82*2)),0)</f>
        <v>#DIV/0!</v>
      </c>
      <c r="N136" s="72" t="s">
        <v>61</v>
      </c>
    </row>
    <row r="137" spans="1:14" ht="15" customHeight="1">
      <c r="A137" s="83"/>
      <c r="L137" s="95"/>
      <c r="M137" s="84"/>
    </row>
    <row r="138" spans="1:14" ht="15" customHeight="1">
      <c r="A138" s="83"/>
      <c r="L138" s="95"/>
      <c r="M138" s="84"/>
    </row>
    <row r="139" spans="1:14" ht="15" customHeight="1">
      <c r="A139" s="83"/>
    </row>
    <row r="140" spans="1:14" ht="15" customHeight="1">
      <c r="A140" s="1199" t="s">
        <v>322</v>
      </c>
      <c r="B140" s="1200"/>
      <c r="C140" s="1200"/>
      <c r="D140" s="1200"/>
      <c r="E140" s="1200"/>
      <c r="F140" s="1200"/>
      <c r="G140" s="1200"/>
      <c r="H140" s="1200"/>
      <c r="I140" s="1200"/>
      <c r="J140" s="1200"/>
      <c r="K140" s="1200"/>
      <c r="L140" s="1200"/>
      <c r="M140" s="1200"/>
      <c r="N140" s="1201"/>
    </row>
    <row r="141" spans="1:14" ht="15" customHeight="1">
      <c r="A141" s="83"/>
      <c r="N141" s="72"/>
    </row>
    <row r="142" spans="1:14" ht="15" customHeight="1">
      <c r="A142" s="83"/>
      <c r="B142" t="s">
        <v>323</v>
      </c>
      <c r="C142" s="92">
        <f>M78-C144</f>
        <v>0</v>
      </c>
      <c r="D142" t="s">
        <v>14</v>
      </c>
      <c r="G142" s="95" t="s">
        <v>324</v>
      </c>
      <c r="H142">
        <f>IF(MIN(C42,C48)=0,C42,MIN(C42,C48))</f>
        <v>0</v>
      </c>
      <c r="I142" t="s">
        <v>10</v>
      </c>
      <c r="L142" s="95" t="s">
        <v>325</v>
      </c>
      <c r="M142">
        <f>入力シート!G58</f>
        <v>0</v>
      </c>
      <c r="N142" s="72"/>
    </row>
    <row r="143" spans="1:14" ht="15" customHeight="1">
      <c r="A143" s="83"/>
      <c r="B143" t="s">
        <v>326</v>
      </c>
      <c r="C143" s="92">
        <f>IF(M77=0,0,ROUNDDOWN(PMT(M146/12,M77*12,-C142*10000),0))</f>
        <v>0</v>
      </c>
      <c r="D143" t="s">
        <v>61</v>
      </c>
      <c r="G143" s="95"/>
      <c r="H143" s="95"/>
      <c r="L143" s="95" t="s">
        <v>327</v>
      </c>
      <c r="M143" s="74">
        <f>IF(M142&gt;H30,H31,0)</f>
        <v>0</v>
      </c>
      <c r="N143" s="72"/>
    </row>
    <row r="144" spans="1:14" ht="15" customHeight="1">
      <c r="A144" s="83"/>
      <c r="B144" t="s">
        <v>328</v>
      </c>
      <c r="C144" s="92">
        <f>入力シート!G77</f>
        <v>0</v>
      </c>
      <c r="D144" t="s">
        <v>14</v>
      </c>
      <c r="G144" s="95" t="s">
        <v>329</v>
      </c>
      <c r="H144">
        <f>MIN(M32,M30-H142-1)</f>
        <v>35</v>
      </c>
      <c r="I144" t="s">
        <v>72</v>
      </c>
      <c r="L144" s="95" t="s">
        <v>330</v>
      </c>
      <c r="M144" s="74">
        <f>IF(AND(入力シート!G59&gt;=H33,入力シート!J60="あり"),計算シート!H34,0)</f>
        <v>0</v>
      </c>
      <c r="N144" s="72"/>
    </row>
    <row r="145" spans="1:14" ht="15" customHeight="1">
      <c r="A145" s="83"/>
      <c r="B145" t="s">
        <v>304</v>
      </c>
      <c r="C145" s="92">
        <f>IF(M77=0,0,ROUNDDOWN(PMT(M146/2,M77*2,-C144*10000),0))</f>
        <v>0</v>
      </c>
      <c r="D145" t="s">
        <v>61</v>
      </c>
      <c r="L145" s="95" t="s">
        <v>331</v>
      </c>
      <c r="M145">
        <f>IF($H$147="カード申込",-H36,0)</f>
        <v>0</v>
      </c>
      <c r="N145" s="72"/>
    </row>
    <row r="146" spans="1:14" ht="15" customHeight="1">
      <c r="A146" s="83"/>
      <c r="C146" s="87"/>
      <c r="G146" s="95" t="s">
        <v>332</v>
      </c>
      <c r="H146" s="77">
        <f>入力シート!G57</f>
        <v>0</v>
      </c>
      <c r="L146" s="95" t="s">
        <v>333</v>
      </c>
      <c r="M146" s="74">
        <f>IF($H$146="Ｂプラン",C34,C31)+M143+M144+M145</f>
        <v>3.95E-2</v>
      </c>
      <c r="N146" s="72"/>
    </row>
    <row r="147" spans="1:14" ht="15" customHeight="1">
      <c r="A147" s="83"/>
      <c r="C147" s="87"/>
      <c r="G147" s="95" t="s">
        <v>334</v>
      </c>
      <c r="H147" s="77">
        <f>入力シート!I57</f>
        <v>0</v>
      </c>
      <c r="L147" s="95" t="s">
        <v>335</v>
      </c>
      <c r="M147" s="84">
        <f>IF($H$146="Ａプラン",C32,C35)</f>
        <v>132000</v>
      </c>
      <c r="N147" s="72" t="s">
        <v>61</v>
      </c>
    </row>
    <row r="148" spans="1:14" ht="15" customHeight="1">
      <c r="A148" s="78"/>
      <c r="B148" s="79"/>
      <c r="C148" s="79"/>
      <c r="D148" s="79"/>
      <c r="E148" s="79"/>
      <c r="F148" s="79"/>
      <c r="G148" s="79"/>
      <c r="H148" s="79"/>
      <c r="I148" s="79"/>
      <c r="J148" s="79"/>
      <c r="K148" s="79"/>
      <c r="L148" s="79"/>
      <c r="M148" s="79"/>
      <c r="N148" s="80"/>
    </row>
    <row r="149" spans="1:14" ht="15" customHeight="1">
      <c r="A149" s="83"/>
    </row>
    <row r="150" spans="1:14" ht="15" customHeight="1">
      <c r="A150" s="83"/>
    </row>
    <row r="151" spans="1:14" ht="15" customHeight="1">
      <c r="A151" s="1199" t="s">
        <v>105</v>
      </c>
      <c r="B151" s="1200"/>
      <c r="C151" s="1200"/>
      <c r="D151" s="1200"/>
      <c r="E151" s="1200"/>
      <c r="F151" s="1200"/>
      <c r="G151" s="1200"/>
      <c r="H151" s="1200"/>
      <c r="I151" s="1200"/>
      <c r="J151" s="1200"/>
      <c r="K151" s="1200"/>
      <c r="L151" s="1200"/>
      <c r="M151" s="1200"/>
      <c r="N151" s="1201"/>
    </row>
    <row r="152" spans="1:14" ht="15" customHeight="1">
      <c r="A152" s="69"/>
      <c r="B152" s="70"/>
      <c r="C152" s="70"/>
      <c r="D152" s="70"/>
      <c r="N152" s="72"/>
    </row>
    <row r="153" spans="1:14" ht="15" customHeight="1">
      <c r="A153" s="83"/>
      <c r="B153" t="s">
        <v>148</v>
      </c>
      <c r="C153" s="309">
        <f>IF(入力シート!E22="以後",計算シート!M179,計算シート!M180)</f>
        <v>3.3750000000000002E-2</v>
      </c>
      <c r="G153" t="s">
        <v>336</v>
      </c>
      <c r="H153" s="77" t="b">
        <v>0</v>
      </c>
      <c r="L153" t="s">
        <v>337</v>
      </c>
      <c r="M153" s="77" t="b">
        <v>0</v>
      </c>
      <c r="N153" s="72"/>
    </row>
    <row r="154" spans="1:14" ht="15" customHeight="1">
      <c r="A154" s="83"/>
      <c r="B154" t="s">
        <v>123</v>
      </c>
      <c r="C154" s="76">
        <v>100000</v>
      </c>
      <c r="D154" t="s">
        <v>338</v>
      </c>
      <c r="G154" t="s">
        <v>339</v>
      </c>
      <c r="H154" s="86">
        <f>ROUNDDOWN(MIN(H77,IF(入力シート!G46="",0,C172)),0)</f>
        <v>0</v>
      </c>
      <c r="I154" t="s">
        <v>14</v>
      </c>
      <c r="L154" t="s">
        <v>340</v>
      </c>
      <c r="M154" s="88">
        <v>0.3</v>
      </c>
      <c r="N154" s="72"/>
    </row>
    <row r="155" spans="1:14" ht="15" customHeight="1">
      <c r="A155" s="83"/>
      <c r="B155" s="95" t="s">
        <v>341</v>
      </c>
      <c r="C155" s="274">
        <v>0.1</v>
      </c>
      <c r="G155" t="s">
        <v>342</v>
      </c>
      <c r="H155" s="86">
        <f>IF(H153=TRUE,入力シート!G98,0)</f>
        <v>0</v>
      </c>
      <c r="I155" t="s">
        <v>14</v>
      </c>
      <c r="L155" t="s">
        <v>343</v>
      </c>
      <c r="M155" s="88">
        <f>IF(AND(資金計画!U3=2,資金計画!R9=TRUE,資金計画!E9&gt;0),0,M154)</f>
        <v>0.3</v>
      </c>
    </row>
    <row r="156" spans="1:14" ht="15" customHeight="1">
      <c r="A156" s="83"/>
      <c r="C156" s="82">
        <f>C154*(1+C155)</f>
        <v>110000.00000000001</v>
      </c>
      <c r="G156" t="s">
        <v>344</v>
      </c>
      <c r="H156" s="87">
        <f>ROUNDDOWN(H155*$C$153*10000*DATEDIF(入力シート!G99,入力シート!G96+1,"d")/365,0)</f>
        <v>0</v>
      </c>
      <c r="I156" t="s">
        <v>61</v>
      </c>
      <c r="L156" t="s">
        <v>345</v>
      </c>
      <c r="M156" s="87">
        <f>IF(AND(資金計画!U3=2,資金計画!R9=TRUE,資金計画!E9&gt;0),0,ROUNDDOWN(MIN(H77-H155-H163-H171,C179*(H161+H169+M155)-H163-H171),0))</f>
        <v>0</v>
      </c>
      <c r="N156" s="72" t="s">
        <v>14</v>
      </c>
    </row>
    <row r="157" spans="1:14" ht="15" customHeight="1">
      <c r="A157" s="83"/>
      <c r="G157" t="s">
        <v>346</v>
      </c>
      <c r="H157" t="str">
        <f>IF(H153=TRUE,1,"")</f>
        <v/>
      </c>
      <c r="L157" t="s">
        <v>347</v>
      </c>
      <c r="M157" s="87">
        <f>IF(M153=TRUE,入力シート!G107,0)</f>
        <v>0</v>
      </c>
      <c r="N157" s="72" t="s">
        <v>14</v>
      </c>
    </row>
    <row r="158" spans="1:14" ht="15" customHeight="1">
      <c r="A158" s="83"/>
      <c r="B158" t="s">
        <v>348</v>
      </c>
      <c r="C158" s="81">
        <f>MIN(H157,H165,H173,M159,M167)</f>
        <v>0</v>
      </c>
      <c r="G158" t="s">
        <v>349</v>
      </c>
      <c r="H158" s="87">
        <f>C156+H156</f>
        <v>110000.00000000001</v>
      </c>
      <c r="I158" t="s">
        <v>61</v>
      </c>
      <c r="L158" t="s">
        <v>344</v>
      </c>
      <c r="M158" s="87">
        <f>ROUNDDOWN(M157*$C$153*10000*DATEDIF(入力シート!G108,入力シート!G96+1,"d")/365,0)</f>
        <v>0</v>
      </c>
      <c r="N158" s="72" t="s">
        <v>61</v>
      </c>
    </row>
    <row r="159" spans="1:14" ht="15" customHeight="1">
      <c r="A159" s="83"/>
      <c r="B159" t="s">
        <v>350</v>
      </c>
      <c r="C159" s="81">
        <f>MAX(H157,H165,H173,M159,M167)</f>
        <v>0</v>
      </c>
      <c r="G159" t="s">
        <v>351</v>
      </c>
      <c r="H159" s="77" t="b">
        <v>0</v>
      </c>
      <c r="L159" t="s">
        <v>346</v>
      </c>
      <c r="M159" t="str">
        <f>IF(M153=TRUE,4,"")</f>
        <v/>
      </c>
      <c r="N159" s="72"/>
    </row>
    <row r="160" spans="1:14" ht="15" customHeight="1">
      <c r="A160" s="83"/>
      <c r="B160" t="s">
        <v>352</v>
      </c>
      <c r="C160" s="112">
        <v>4</v>
      </c>
      <c r="D160" t="s">
        <v>353</v>
      </c>
      <c r="G160" t="s">
        <v>354</v>
      </c>
      <c r="H160" s="88">
        <v>0.1</v>
      </c>
      <c r="L160" t="s">
        <v>349</v>
      </c>
      <c r="M160" s="87">
        <f>C156+H156+H164+H172+M158</f>
        <v>110000.00000000001</v>
      </c>
      <c r="N160" s="72" t="s">
        <v>61</v>
      </c>
    </row>
    <row r="161" spans="1:14" ht="15" customHeight="1">
      <c r="A161" s="83"/>
      <c r="B161" t="s">
        <v>355</v>
      </c>
      <c r="C161" s="81">
        <f>COUNT(H157,H165,H173,M159,M167)</f>
        <v>0</v>
      </c>
      <c r="D161" t="s">
        <v>353</v>
      </c>
      <c r="G161" t="s">
        <v>343</v>
      </c>
      <c r="H161" s="88">
        <f>IF(AND(資金計画!U3=2,資金計画!R9=TRUE,資金計画!E9&gt;0),0,H160)</f>
        <v>0.1</v>
      </c>
      <c r="L161" t="s">
        <v>356</v>
      </c>
      <c r="M161" s="77" t="b">
        <v>0</v>
      </c>
      <c r="N161" s="72"/>
    </row>
    <row r="162" spans="1:14" ht="15" customHeight="1">
      <c r="A162" s="83"/>
      <c r="B162" t="s">
        <v>357</v>
      </c>
      <c r="C162" s="92">
        <f>H155+H163+H171+M157+M165</f>
        <v>0</v>
      </c>
      <c r="G162" t="s">
        <v>358</v>
      </c>
      <c r="H162" s="87">
        <f>ROUNDDOWN(MIN(H77-H155,C179*H161),0)</f>
        <v>0</v>
      </c>
      <c r="I162" t="s">
        <v>14</v>
      </c>
      <c r="L162" t="s">
        <v>359</v>
      </c>
      <c r="M162" s="88">
        <v>0.4</v>
      </c>
      <c r="N162" s="72"/>
    </row>
    <row r="163" spans="1:14" ht="15" customHeight="1">
      <c r="A163" s="83"/>
      <c r="B163" t="s">
        <v>360</v>
      </c>
      <c r="C163" s="82">
        <f>C156+H156+H164+H172+M158+M166</f>
        <v>110000.00000000001</v>
      </c>
      <c r="G163" t="s">
        <v>361</v>
      </c>
      <c r="H163" s="87">
        <f>IF(H159=TRUE,入力シート!G101,0)</f>
        <v>0</v>
      </c>
      <c r="I163" t="s">
        <v>14</v>
      </c>
      <c r="L163" t="s">
        <v>343</v>
      </c>
      <c r="M163" s="88">
        <f>IF(AND(資金計画!U3=2,資金計画!R9=TRUE,資金計画!E9&gt;0),0,M162)</f>
        <v>0.4</v>
      </c>
    </row>
    <row r="164" spans="1:14" ht="15" customHeight="1">
      <c r="A164" s="83"/>
      <c r="G164" t="s">
        <v>344</v>
      </c>
      <c r="H164" s="87">
        <f>ROUNDDOWN(H163*$C$153*10000*DATEDIF(入力シート!G102,入力シート!G96+1,"d")/365,0)</f>
        <v>0</v>
      </c>
      <c r="I164" t="s">
        <v>61</v>
      </c>
      <c r="L164" t="s">
        <v>362</v>
      </c>
      <c r="M164">
        <f>IF(AND(資金計画!U3=2,資金計画!R9=TRUE,資金計画!E9&gt;0),0,ROUNDDOWN(MIN(H77-H155-H163-H171-M157,C179*(H161+H169+M155+M163)-H163-H171-M157),0))</f>
        <v>0</v>
      </c>
      <c r="N164" s="72" t="s">
        <v>14</v>
      </c>
    </row>
    <row r="165" spans="1:14" ht="15" customHeight="1">
      <c r="A165" s="83"/>
      <c r="B165" t="s">
        <v>363</v>
      </c>
      <c r="G165" t="s">
        <v>346</v>
      </c>
      <c r="H165" t="str">
        <f>IF(H159=TRUE,2,"")</f>
        <v/>
      </c>
      <c r="L165" t="s">
        <v>364</v>
      </c>
      <c r="M165">
        <f>IF(M161=TRUE,入力シート!G110,0)</f>
        <v>0</v>
      </c>
      <c r="N165" s="72" t="s">
        <v>14</v>
      </c>
    </row>
    <row r="166" spans="1:14" ht="15" customHeight="1">
      <c r="A166" s="83"/>
      <c r="B166" s="95" t="s">
        <v>62</v>
      </c>
      <c r="C166">
        <f>入力シート!G46</f>
        <v>0</v>
      </c>
      <c r="G166" t="s">
        <v>349</v>
      </c>
      <c r="H166" s="87">
        <f>C156+H156+H164</f>
        <v>110000.00000000001</v>
      </c>
      <c r="I166" t="s">
        <v>61</v>
      </c>
      <c r="L166" t="s">
        <v>344</v>
      </c>
      <c r="M166" s="87">
        <f>ROUNDDOWN(M165*$C$153*10000*DATEDIF(入力シート!G111,入力シート!G96+1,"d")/365,0)</f>
        <v>0</v>
      </c>
      <c r="N166" s="72" t="s">
        <v>61</v>
      </c>
    </row>
    <row r="167" spans="1:14" ht="15" customHeight="1">
      <c r="A167" s="83"/>
      <c r="B167" s="9" t="s">
        <v>365</v>
      </c>
      <c r="C167">
        <f>IF(AND(資金計画!U3=2,資金計画!R9=TRUE,資金計画!E9&gt;0),資金計画!E7,0)</f>
        <v>0</v>
      </c>
      <c r="G167" t="s">
        <v>366</v>
      </c>
      <c r="H167" s="77" t="b">
        <v>0</v>
      </c>
      <c r="L167" t="s">
        <v>346</v>
      </c>
      <c r="M167" t="str">
        <f>IF(M161=TRUE,5,"")</f>
        <v/>
      </c>
      <c r="N167" s="72"/>
    </row>
    <row r="168" spans="1:14" ht="15" customHeight="1">
      <c r="A168" s="83"/>
      <c r="B168" s="95" t="s">
        <v>367</v>
      </c>
      <c r="C168">
        <f>資金計画!E12</f>
        <v>0</v>
      </c>
      <c r="G168" t="s">
        <v>368</v>
      </c>
      <c r="H168" s="88">
        <v>0.2</v>
      </c>
      <c r="L168" t="s">
        <v>349</v>
      </c>
      <c r="M168" s="84">
        <f>C156+H156+H164+H172+M158+M166</f>
        <v>110000.00000000001</v>
      </c>
      <c r="N168" s="72" t="s">
        <v>61</v>
      </c>
    </row>
    <row r="169" spans="1:14" ht="15" customHeight="1">
      <c r="A169" s="83"/>
      <c r="B169" s="95" t="s">
        <v>369</v>
      </c>
      <c r="C169">
        <f>資金計画!E14</f>
        <v>0</v>
      </c>
      <c r="G169" t="s">
        <v>343</v>
      </c>
      <c r="H169" s="88">
        <f>IF(AND(資金計画!U3=2,資金計画!R9=TRUE,資金計画!E9&gt;0),0.4,H168)</f>
        <v>0.2</v>
      </c>
      <c r="M169" s="87"/>
      <c r="N169" s="72"/>
    </row>
    <row r="170" spans="1:14" ht="15" customHeight="1">
      <c r="A170" s="83"/>
      <c r="B170" s="95" t="s">
        <v>370</v>
      </c>
      <c r="C170">
        <f>IF(資金計画!R20=TRUE,資金計画!E20,0)</f>
        <v>0</v>
      </c>
      <c r="G170" t="s">
        <v>371</v>
      </c>
      <c r="H170" s="87">
        <f>ROUNDDOWN(MIN(H77-H155-H163,C179*(H161+H169)-H163),0)</f>
        <v>0</v>
      </c>
      <c r="I170" t="s">
        <v>14</v>
      </c>
      <c r="M170" s="87"/>
      <c r="N170" s="72"/>
    </row>
    <row r="171" spans="1:14" ht="15" customHeight="1">
      <c r="A171" s="83"/>
      <c r="B171" s="95" t="s">
        <v>372</v>
      </c>
      <c r="C171" t="b">
        <f>IF(AND(資金計画!U3=2,資金計画!R9=TRUE,資金計画!E9&gt;0),IF(資金計画!R24=TRUE,資金計画!E24,0))</f>
        <v>0</v>
      </c>
      <c r="G171" t="s">
        <v>373</v>
      </c>
      <c r="H171" s="87">
        <f>IF(H167=TRUE,入力シート!G104,0)</f>
        <v>0</v>
      </c>
      <c r="I171" t="s">
        <v>14</v>
      </c>
      <c r="L171" t="s">
        <v>374</v>
      </c>
      <c r="M171" s="87" t="s">
        <v>375</v>
      </c>
      <c r="N171" s="72"/>
    </row>
    <row r="172" spans="1:14" ht="15" customHeight="1">
      <c r="A172" s="83"/>
      <c r="B172" s="95" t="s">
        <v>376</v>
      </c>
      <c r="C172">
        <f>ROUNDDOWN(SUM(C166:C171)/10000,0)</f>
        <v>0</v>
      </c>
      <c r="D172" t="s">
        <v>14</v>
      </c>
      <c r="G172" t="s">
        <v>344</v>
      </c>
      <c r="H172" s="87">
        <f>ROUNDDOWN(H171*$C$153*10000*DATEDIF(入力シート!G105,入力シート!G96+1,"d")/365,0)</f>
        <v>0</v>
      </c>
      <c r="I172" t="s">
        <v>61</v>
      </c>
      <c r="L172" t="s">
        <v>377</v>
      </c>
      <c r="M172" s="88">
        <v>0.3</v>
      </c>
      <c r="N172" s="72"/>
    </row>
    <row r="173" spans="1:14" ht="15" customHeight="1">
      <c r="A173" s="83"/>
      <c r="G173" t="s">
        <v>346</v>
      </c>
      <c r="H173" t="str">
        <f>IF(H167=TRUE,3,"")</f>
        <v/>
      </c>
      <c r="M173" s="87">
        <f>IF(AND(資金計画!U3=2,資金計画!R9=TRUE,資金計画!E9&gt;0),H170,ROUNDDOWN(MIN(H77-H155-H163,C179*(H161+M172)-H163),0))</f>
        <v>0</v>
      </c>
      <c r="N173" s="72" t="s">
        <v>14</v>
      </c>
    </row>
    <row r="174" spans="1:14" ht="15" customHeight="1">
      <c r="A174" s="83"/>
      <c r="G174" t="s">
        <v>349</v>
      </c>
      <c r="H174" s="87">
        <f>C156+H156+H164+H172</f>
        <v>110000.00000000001</v>
      </c>
      <c r="I174" t="s">
        <v>61</v>
      </c>
      <c r="L174" t="s">
        <v>378</v>
      </c>
      <c r="M174" s="88">
        <v>0.4</v>
      </c>
      <c r="N174" s="72"/>
    </row>
    <row r="175" spans="1:14" ht="15" customHeight="1">
      <c r="A175" s="83"/>
      <c r="B175" s="106" t="s">
        <v>379</v>
      </c>
      <c r="M175">
        <f>IF(AND(資金計画!U3=2,資金計画!R9=TRUE,資金計画!E9&gt;0),0,ROUNDDOWN(MIN(H77-H155-H163-H171,C179*(H161+M172+M174)-H163-H171),0))</f>
        <v>0</v>
      </c>
      <c r="N175" s="72"/>
    </row>
    <row r="176" spans="1:14" ht="15" customHeight="1">
      <c r="A176" s="83"/>
      <c r="B176" s="95" t="s">
        <v>380</v>
      </c>
      <c r="C176">
        <f>IF(AND(資金計画!U3=2,資金計画!R9=TRUE,資金計画!E9&gt;0),0,入力シート!G45)</f>
        <v>0</v>
      </c>
      <c r="L176" t="s">
        <v>381</v>
      </c>
      <c r="M176" t="b">
        <f>OR(H171&gt;H170,M157&gt;M156)</f>
        <v>0</v>
      </c>
      <c r="N176" s="72"/>
    </row>
    <row r="177" spans="1:14" ht="15" customHeight="1">
      <c r="A177" s="83"/>
      <c r="B177" t="s">
        <v>382</v>
      </c>
      <c r="C177">
        <f>IF(AND(資金計画!U3=2,資金計画!R9=TRUE,資金計画!E9&gt;0),資金計画!E9,0)</f>
        <v>0</v>
      </c>
      <c r="G177" t="s">
        <v>383</v>
      </c>
      <c r="H177" s="259" t="e">
        <f>IF(AND(入力シート!#REF!="",入力シート!$G$102=""),12,IF(入力シート!$G$102="",入力シート!#REF!,入力シート!$G$102))</f>
        <v>#REF!</v>
      </c>
      <c r="N177" s="72"/>
    </row>
    <row r="178" spans="1:14" ht="15" customHeight="1">
      <c r="A178" s="83"/>
      <c r="B178" s="95" t="s">
        <v>384</v>
      </c>
      <c r="D178" t="s">
        <v>385</v>
      </c>
      <c r="G178" t="s">
        <v>386</v>
      </c>
      <c r="H178" s="259" t="e">
        <f>IF(AND(入力シート!#REF!="",入力シート!$G$102="",入力シート!$G$105=""),12,IF(入力シート!$G$105="",IF(入力シート!$G$102="",入力シート!#REF!,入力シート!$G$102),入力シート!$G$105))</f>
        <v>#REF!</v>
      </c>
      <c r="N178" s="72"/>
    </row>
    <row r="179" spans="1:14" ht="15" customHeight="1">
      <c r="A179" s="83"/>
      <c r="B179" s="95" t="s">
        <v>376</v>
      </c>
      <c r="C179">
        <f>ROUNDDOWN(SUM(C176:C178)/10000,0)</f>
        <v>0</v>
      </c>
      <c r="D179" t="s">
        <v>14</v>
      </c>
      <c r="G179" t="s">
        <v>387</v>
      </c>
      <c r="H179" s="259" t="e">
        <f>IF(AND(入力シート!#REF!="",入力シート!$G$102="",入力シート!$G$105="",入力シート!$G$108=""),12,IF(入力シート!G108="",IF(入力シート!$G$105="",IF(入力シート!$G$102="",入力シート!#REF!,入力シート!$G$102),入力シート!$G$105),入力シート!$G$108))</f>
        <v>#REF!</v>
      </c>
      <c r="L179" t="s">
        <v>388</v>
      </c>
      <c r="M179" s="71">
        <v>3.3750000000000002E-2</v>
      </c>
      <c r="N179" s="72"/>
    </row>
    <row r="180" spans="1:14" ht="15" customHeight="1">
      <c r="A180" s="83"/>
      <c r="B180" s="95"/>
      <c r="M180" s="71">
        <v>3.125E-2</v>
      </c>
      <c r="N180" s="72"/>
    </row>
    <row r="181" spans="1:14" ht="15" customHeight="1">
      <c r="A181" s="78"/>
      <c r="B181" s="79"/>
      <c r="C181" s="79"/>
      <c r="D181" s="79"/>
      <c r="E181" s="79"/>
      <c r="F181" s="79"/>
      <c r="G181" s="79"/>
      <c r="H181" s="79"/>
      <c r="I181" s="79"/>
      <c r="J181" s="79"/>
      <c r="K181" s="79"/>
      <c r="L181" s="79"/>
      <c r="M181" s="79"/>
      <c r="N181" s="80"/>
    </row>
    <row r="184" spans="1:14" ht="15" customHeight="1">
      <c r="A184" s="1199" t="s">
        <v>90</v>
      </c>
      <c r="B184" s="1200"/>
      <c r="C184" s="1200"/>
      <c r="D184" s="1200"/>
      <c r="E184" s="1200"/>
      <c r="F184" s="1200"/>
      <c r="G184" s="1200"/>
      <c r="H184" s="1200"/>
      <c r="I184" s="1200"/>
      <c r="J184" s="1200"/>
      <c r="K184" s="1200"/>
      <c r="L184" s="1200"/>
      <c r="M184" s="1200"/>
      <c r="N184" s="1201"/>
    </row>
    <row r="186" spans="1:14" ht="15" customHeight="1">
      <c r="B186" t="s">
        <v>389</v>
      </c>
      <c r="C186" s="71">
        <v>3.3000000000000002E-2</v>
      </c>
      <c r="G186" t="s">
        <v>390</v>
      </c>
      <c r="H186" s="77">
        <f>入力シート!G54</f>
        <v>0</v>
      </c>
      <c r="I186" t="s">
        <v>72</v>
      </c>
    </row>
    <row r="187" spans="1:14" ht="15" customHeight="1">
      <c r="B187" t="s">
        <v>126</v>
      </c>
      <c r="C187" s="71">
        <v>2.1999999999999999E-2</v>
      </c>
      <c r="H187">
        <f>H186*12</f>
        <v>0</v>
      </c>
      <c r="I187" t="s">
        <v>353</v>
      </c>
    </row>
    <row r="188" spans="1:14" ht="15" customHeight="1">
      <c r="B188" s="95" t="s">
        <v>391</v>
      </c>
      <c r="C188" s="71"/>
      <c r="G188" t="s">
        <v>392</v>
      </c>
      <c r="H188" s="77">
        <f>入力シート!G55</f>
        <v>0</v>
      </c>
      <c r="I188" t="s">
        <v>14</v>
      </c>
    </row>
    <row r="189" spans="1:14" ht="15" customHeight="1">
      <c r="B189" s="95" t="s">
        <v>393</v>
      </c>
      <c r="C189" s="71"/>
      <c r="H189" s="90">
        <f>IF(H188=0,0,ROUNDDOWN(PMT(C186/12,H187,-H188*10000),0))</f>
        <v>0</v>
      </c>
    </row>
    <row r="190" spans="1:14" ht="15" customHeight="1">
      <c r="B190" t="s">
        <v>163</v>
      </c>
      <c r="C190" s="75">
        <v>55000</v>
      </c>
      <c r="D190" t="s">
        <v>61</v>
      </c>
      <c r="G190" t="s">
        <v>394</v>
      </c>
      <c r="H190" s="90">
        <f>IF(H188=0,0,ROUNDDOWN(PMT(C88/12,H187,-H188*10000),0))</f>
        <v>0</v>
      </c>
      <c r="L190" t="s">
        <v>395</v>
      </c>
      <c r="M190">
        <f>IF(H188=0,0,IF(H188*C187*10000&lt;=C190,C190,H188*C187*10000))</f>
        <v>0</v>
      </c>
    </row>
    <row r="191" spans="1:14" ht="15" customHeight="1">
      <c r="B191" t="s">
        <v>396</v>
      </c>
      <c r="C191">
        <v>50</v>
      </c>
      <c r="D191" t="s">
        <v>397</v>
      </c>
      <c r="H191" s="90"/>
    </row>
    <row r="192" spans="1:14" ht="15" customHeight="1">
      <c r="B192" t="s">
        <v>398</v>
      </c>
      <c r="C192">
        <v>800</v>
      </c>
      <c r="D192" t="s">
        <v>397</v>
      </c>
    </row>
    <row r="194" spans="1:14" ht="15" customHeight="1">
      <c r="A194" s="1199" t="s">
        <v>399</v>
      </c>
      <c r="B194" s="1200"/>
      <c r="C194" s="1200"/>
      <c r="D194" s="1200"/>
      <c r="E194" s="1200"/>
      <c r="F194" s="1200"/>
      <c r="G194" s="1200"/>
      <c r="H194" s="1200"/>
      <c r="I194" s="1200"/>
      <c r="J194" s="1200"/>
      <c r="K194" s="1200"/>
      <c r="L194" s="1200"/>
      <c r="M194" s="1200"/>
      <c r="N194" s="1201"/>
    </row>
    <row r="196" spans="1:14" ht="15" customHeight="1">
      <c r="B196" t="s">
        <v>400</v>
      </c>
      <c r="C196" s="71">
        <v>3.2000000000000001E-2</v>
      </c>
      <c r="G196" t="s">
        <v>390</v>
      </c>
      <c r="H196" s="77">
        <f>入力シート!G64</f>
        <v>0</v>
      </c>
      <c r="I196" t="s">
        <v>72</v>
      </c>
      <c r="L196" t="s">
        <v>401</v>
      </c>
      <c r="M196">
        <f>入力シート!G65-M198</f>
        <v>0</v>
      </c>
    </row>
    <row r="197" spans="1:14" ht="15" customHeight="1">
      <c r="B197" t="s">
        <v>402</v>
      </c>
      <c r="C197" s="75">
        <f>IF(H201="Ａプラン",H203,H204)</f>
        <v>110000</v>
      </c>
      <c r="D197" t="s">
        <v>61</v>
      </c>
      <c r="H197">
        <f>H196*12</f>
        <v>0</v>
      </c>
      <c r="I197" t="s">
        <v>353</v>
      </c>
      <c r="L197" t="s">
        <v>392</v>
      </c>
      <c r="M197" s="208">
        <f>IF(H198=0,0,ROUNDDOWN(PMT(C196/12,H197,-M196*10000),0))</f>
        <v>0</v>
      </c>
    </row>
    <row r="198" spans="1:14" ht="15" customHeight="1">
      <c r="H198" s="77">
        <f>入力シート!G65</f>
        <v>0</v>
      </c>
      <c r="I198" t="s">
        <v>14</v>
      </c>
      <c r="L198" t="s">
        <v>88</v>
      </c>
      <c r="M198">
        <f>入力シート!G78</f>
        <v>0</v>
      </c>
    </row>
    <row r="199" spans="1:14" ht="15" customHeight="1">
      <c r="B199" t="s">
        <v>396</v>
      </c>
      <c r="C199" s="81">
        <v>30</v>
      </c>
      <c r="D199" t="s">
        <v>397</v>
      </c>
      <c r="H199" s="90">
        <f>IF(H198=0,0,ROUNDDOWN(PMT(C196/12,H197,-H198*10000),0))</f>
        <v>0</v>
      </c>
      <c r="L199" t="s">
        <v>392</v>
      </c>
      <c r="M199">
        <f>IF(M198=0,0,ROUNDDOWN(PMT(C196/2,H197/6,-M198*10000),0))</f>
        <v>0</v>
      </c>
    </row>
    <row r="200" spans="1:14" ht="15" customHeight="1">
      <c r="B200" t="s">
        <v>398</v>
      </c>
      <c r="C200">
        <v>300</v>
      </c>
      <c r="D200" t="s">
        <v>397</v>
      </c>
    </row>
    <row r="201" spans="1:14" ht="15" customHeight="1">
      <c r="B201" t="s">
        <v>403</v>
      </c>
      <c r="C201">
        <f>ROUNDDOWN(H42/3,0)</f>
        <v>0</v>
      </c>
      <c r="D201" t="s">
        <v>397</v>
      </c>
      <c r="G201" t="s">
        <v>332</v>
      </c>
      <c r="H201">
        <f>入力シート!G63</f>
        <v>0</v>
      </c>
    </row>
    <row r="202" spans="1:14" ht="15" customHeight="1">
      <c r="B202" t="s">
        <v>404</v>
      </c>
      <c r="C202" s="81">
        <f>MIN(C200,C201)</f>
        <v>0</v>
      </c>
      <c r="D202" t="s">
        <v>397</v>
      </c>
      <c r="G202" t="s">
        <v>334</v>
      </c>
      <c r="H202">
        <f>入力シート!I63</f>
        <v>0</v>
      </c>
    </row>
    <row r="203" spans="1:14" ht="15" customHeight="1">
      <c r="G203" t="s">
        <v>405</v>
      </c>
      <c r="H203" s="76">
        <v>33000</v>
      </c>
      <c r="I203" t="s">
        <v>61</v>
      </c>
    </row>
    <row r="204" spans="1:14" ht="15" customHeight="1">
      <c r="G204" t="s">
        <v>406</v>
      </c>
      <c r="H204" s="76">
        <v>110000</v>
      </c>
      <c r="I204" t="s">
        <v>61</v>
      </c>
    </row>
  </sheetData>
  <mergeCells count="35">
    <mergeCell ref="P29:S30"/>
    <mergeCell ref="P34:P38"/>
    <mergeCell ref="P43:S45"/>
    <mergeCell ref="A151:N151"/>
    <mergeCell ref="F42:F46"/>
    <mergeCell ref="F61:F71"/>
    <mergeCell ref="P10:P14"/>
    <mergeCell ref="P24:S27"/>
    <mergeCell ref="A11:A12"/>
    <mergeCell ref="F7:F12"/>
    <mergeCell ref="K7:K12"/>
    <mergeCell ref="K14:K17"/>
    <mergeCell ref="A15:A17"/>
    <mergeCell ref="B1:G1"/>
    <mergeCell ref="B2:G2"/>
    <mergeCell ref="B3:G3"/>
    <mergeCell ref="A7:A8"/>
    <mergeCell ref="P5:S6"/>
    <mergeCell ref="A5:N5"/>
    <mergeCell ref="A28:N28"/>
    <mergeCell ref="A93:N93"/>
    <mergeCell ref="F83:F84"/>
    <mergeCell ref="F85:F86"/>
    <mergeCell ref="K80:K83"/>
    <mergeCell ref="K61:K71"/>
    <mergeCell ref="A194:N194"/>
    <mergeCell ref="A110:N110"/>
    <mergeCell ref="A140:N140"/>
    <mergeCell ref="A42:A54"/>
    <mergeCell ref="A40:N40"/>
    <mergeCell ref="A59:N59"/>
    <mergeCell ref="A75:N75"/>
    <mergeCell ref="A184:N184"/>
    <mergeCell ref="F100:F103"/>
    <mergeCell ref="F95:F97"/>
  </mergeCells>
  <phoneticPr fontId="8"/>
  <conditionalFormatting sqref="D79 C80:D86 D87:D89 C88:C89 C90:D94">
    <cfRule type="expression" dxfId="68" priority="166">
      <formula>$C$161&gt;$C$160</formula>
    </cfRule>
    <cfRule type="expression" dxfId="67" priority="167">
      <formula>$C$161&gt;#REF!</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H24"/>
  <sheetViews>
    <sheetView topLeftCell="A10" workbookViewId="0">
      <selection activeCell="A23" sqref="A23"/>
    </sheetView>
  </sheetViews>
  <sheetFormatPr defaultColWidth="8.75" defaultRowHeight="13.5"/>
  <cols>
    <col min="1" max="1" width="32.25" style="296" bestFit="1" customWidth="1"/>
    <col min="2" max="2" width="9.875" style="296" bestFit="1" customWidth="1"/>
    <col min="3" max="3" width="14.125" style="296" bestFit="1" customWidth="1"/>
    <col min="4" max="4" width="8.75" style="296"/>
    <col min="5" max="5" width="12" style="296" bestFit="1" customWidth="1"/>
    <col min="6" max="6" width="9.875" style="296" bestFit="1" customWidth="1"/>
    <col min="7" max="7" width="12" style="296" bestFit="1" customWidth="1"/>
    <col min="8" max="8" width="9.875" style="296" bestFit="1" customWidth="1"/>
    <col min="9" max="16384" width="8.75" style="296"/>
  </cols>
  <sheetData>
    <row r="1" spans="1:7">
      <c r="A1" s="295" t="s">
        <v>407</v>
      </c>
      <c r="B1" s="296" t="s">
        <v>408</v>
      </c>
    </row>
    <row r="2" spans="1:7">
      <c r="A2" s="306" t="s">
        <v>409</v>
      </c>
      <c r="B2" s="296">
        <v>3</v>
      </c>
      <c r="D2" s="539" t="s">
        <v>410</v>
      </c>
      <c r="E2" s="296">
        <f>入力シート!O19</f>
        <v>0</v>
      </c>
    </row>
    <row r="3" spans="1:7">
      <c r="A3" s="306" t="s">
        <v>411</v>
      </c>
      <c r="B3" s="296">
        <v>2</v>
      </c>
    </row>
    <row r="4" spans="1:7">
      <c r="A4" s="306" t="s">
        <v>412</v>
      </c>
      <c r="B4" s="296">
        <v>1</v>
      </c>
      <c r="D4" s="540" t="s">
        <v>413</v>
      </c>
      <c r="F4"/>
      <c r="G4"/>
    </row>
    <row r="5" spans="1:7">
      <c r="A5" s="306" t="s">
        <v>414</v>
      </c>
      <c r="B5" s="296">
        <v>0</v>
      </c>
      <c r="D5" s="539" t="s">
        <v>415</v>
      </c>
      <c r="E5" s="296">
        <f>入力シート!M22</f>
        <v>0</v>
      </c>
    </row>
    <row r="6" spans="1:7">
      <c r="A6" s="306" t="s">
        <v>416</v>
      </c>
      <c r="B6" s="296">
        <v>4</v>
      </c>
      <c r="D6" s="539" t="s">
        <v>417</v>
      </c>
      <c r="E6" t="b">
        <f>IF(入力シート!M23="する",TRUE,FALSE)</f>
        <v>0</v>
      </c>
    </row>
    <row r="7" spans="1:7">
      <c r="A7" s="306" t="s">
        <v>418</v>
      </c>
      <c r="B7" s="296">
        <v>2</v>
      </c>
      <c r="D7"/>
      <c r="E7"/>
    </row>
    <row r="8" spans="1:7">
      <c r="A8" s="306" t="s">
        <v>419</v>
      </c>
      <c r="B8" s="296">
        <v>0</v>
      </c>
      <c r="D8" s="539" t="s">
        <v>420</v>
      </c>
      <c r="E8">
        <f>IF(E5&gt;0,E2+E5,IF(E6=TRUE,E2+1,IF(E2&gt;=4,4,E2)))</f>
        <v>0</v>
      </c>
    </row>
    <row r="9" spans="1:7">
      <c r="D9"/>
      <c r="E9"/>
    </row>
    <row r="10" spans="1:7">
      <c r="A10" s="297" t="s">
        <v>421</v>
      </c>
    </row>
    <row r="11" spans="1:7">
      <c r="A11" s="298" t="s">
        <v>422</v>
      </c>
      <c r="B11" s="296">
        <v>1</v>
      </c>
    </row>
    <row r="12" spans="1:7">
      <c r="A12" s="298" t="s">
        <v>423</v>
      </c>
      <c r="B12" s="296">
        <v>1</v>
      </c>
    </row>
    <row r="13" spans="1:7">
      <c r="A13" s="298" t="s">
        <v>424</v>
      </c>
      <c r="B13" s="296">
        <v>1</v>
      </c>
      <c r="D13">
        <f>ROUNDDOWN(E8/4,0)</f>
        <v>0</v>
      </c>
    </row>
    <row r="14" spans="1:7">
      <c r="A14" s="305" t="s">
        <v>425</v>
      </c>
      <c r="B14" s="296">
        <v>1</v>
      </c>
      <c r="D14">
        <f>E8/4-D13</f>
        <v>0</v>
      </c>
      <c r="F14">
        <v>1</v>
      </c>
      <c r="G14" t="s">
        <v>426</v>
      </c>
    </row>
    <row r="15" spans="1:7">
      <c r="A15" s="305" t="s">
        <v>427</v>
      </c>
      <c r="B15" s="296">
        <v>1</v>
      </c>
      <c r="F15" t="s">
        <v>428</v>
      </c>
      <c r="G15"/>
    </row>
    <row r="16" spans="1:7">
      <c r="A16" s="305" t="s">
        <v>429</v>
      </c>
      <c r="B16" s="296">
        <v>1</v>
      </c>
      <c r="F16">
        <f>D13*5</f>
        <v>0</v>
      </c>
      <c r="G16" t="s">
        <v>430</v>
      </c>
    </row>
    <row r="17" spans="1:8">
      <c r="A17" s="305" t="s">
        <v>431</v>
      </c>
      <c r="B17" s="296">
        <v>0</v>
      </c>
      <c r="F17" t="s">
        <v>432</v>
      </c>
      <c r="G17"/>
    </row>
    <row r="18" spans="1:8">
      <c r="F18">
        <f>D14</f>
        <v>0</v>
      </c>
      <c r="G18" t="s">
        <v>433</v>
      </c>
    </row>
    <row r="19" spans="1:8">
      <c r="A19" s="299" t="s">
        <v>434</v>
      </c>
    </row>
    <row r="20" spans="1:8">
      <c r="A20" s="300" t="s">
        <v>435</v>
      </c>
      <c r="B20" s="296">
        <v>2</v>
      </c>
      <c r="D20" s="539" t="s">
        <v>436</v>
      </c>
    </row>
    <row r="21" spans="1:8">
      <c r="A21" s="541" t="s">
        <v>437</v>
      </c>
      <c r="B21" s="296">
        <v>2</v>
      </c>
      <c r="D21" s="296" t="s">
        <v>154</v>
      </c>
      <c r="E21" s="296">
        <f>IF(AND(D13=0,D14=0),0,IF(D13=0,5,F16))</f>
        <v>0</v>
      </c>
      <c r="F21" s="539" t="s">
        <v>155</v>
      </c>
      <c r="G21" s="296">
        <f>IF(入力シート!O20="単独",0.6,IF(F16=0,F18,F14))</f>
        <v>0</v>
      </c>
      <c r="H21" s="296" t="s">
        <v>438</v>
      </c>
    </row>
    <row r="22" spans="1:8">
      <c r="A22" s="300" t="s">
        <v>439</v>
      </c>
      <c r="B22" s="296">
        <v>1</v>
      </c>
      <c r="D22" s="296" t="s">
        <v>440</v>
      </c>
      <c r="E22" s="296">
        <f>IF(OR(F16=0,F18=0),0,5)</f>
        <v>0</v>
      </c>
      <c r="F22" s="296" t="s">
        <v>155</v>
      </c>
      <c r="G22" s="296">
        <f>IF(E22=0,0,F18)</f>
        <v>0</v>
      </c>
      <c r="H22" s="296" t="s">
        <v>438</v>
      </c>
    </row>
    <row r="23" spans="1:8">
      <c r="A23" s="300" t="s">
        <v>441</v>
      </c>
      <c r="B23" s="296">
        <v>2</v>
      </c>
    </row>
    <row r="24" spans="1:8">
      <c r="A24" s="300" t="s">
        <v>431</v>
      </c>
      <c r="B24" s="296">
        <v>0</v>
      </c>
    </row>
  </sheetData>
  <phoneticPr fontId="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M55"/>
  <sheetViews>
    <sheetView showGridLines="0" view="pageBreakPreview" zoomScale="85" zoomScaleNormal="115" zoomScaleSheetLayoutView="85" workbookViewId="0">
      <selection activeCell="A2" sqref="A2:D2"/>
    </sheetView>
  </sheetViews>
  <sheetFormatPr defaultRowHeight="13.5"/>
  <cols>
    <col min="1" max="1" width="8.25" customWidth="1"/>
    <col min="2" max="2" width="8.75" customWidth="1"/>
    <col min="3" max="3" width="9.375" customWidth="1"/>
    <col min="4" max="7" width="8.75" customWidth="1"/>
    <col min="8" max="13" width="7.125" customWidth="1"/>
  </cols>
  <sheetData>
    <row r="1" spans="1:13" ht="25.5" customHeight="1">
      <c r="A1" s="923" t="str">
        <f>入力シート!B27</f>
        <v>買取型</v>
      </c>
      <c r="B1" s="923"/>
      <c r="H1" s="1236">
        <f ca="1">TODAY()</f>
        <v>45772</v>
      </c>
      <c r="I1" s="1236"/>
      <c r="J1" s="1236"/>
      <c r="K1" s="1236"/>
      <c r="L1" s="1236"/>
      <c r="M1" s="1236"/>
    </row>
    <row r="2" spans="1:13" ht="24.75" customHeight="1" thickBot="1">
      <c r="A2" s="1377" t="str">
        <f>IF(入力シート!G8="","",入力シート!G8)</f>
        <v/>
      </c>
      <c r="B2" s="1377"/>
      <c r="C2" s="1377"/>
      <c r="D2" s="1377"/>
      <c r="E2" s="22" t="s">
        <v>7</v>
      </c>
      <c r="F2" s="1376" t="str">
        <f>IF(入力シート!L8="","",入力シート!L8)</f>
        <v/>
      </c>
      <c r="G2" s="1376"/>
      <c r="H2" s="1376"/>
      <c r="I2" s="1376"/>
      <c r="J2" s="22" t="s">
        <v>442</v>
      </c>
      <c r="K2" s="1235" t="s">
        <v>443</v>
      </c>
      <c r="L2" s="1235"/>
      <c r="M2" s="1235"/>
    </row>
    <row r="3" spans="1:13" s="26" customFormat="1" ht="28.5" customHeight="1" thickTop="1" thickBot="1">
      <c r="A3" s="19" t="s">
        <v>444</v>
      </c>
    </row>
    <row r="4" spans="1:13" ht="24.75" customHeight="1">
      <c r="A4" s="1378" t="s">
        <v>59</v>
      </c>
      <c r="B4" s="1379"/>
      <c r="C4" s="1379"/>
      <c r="D4" s="1379"/>
      <c r="E4" s="1380"/>
      <c r="F4" s="1373" t="s">
        <v>445</v>
      </c>
      <c r="G4" s="1374"/>
      <c r="H4" s="1374"/>
      <c r="I4" s="1374"/>
      <c r="J4" s="1374"/>
      <c r="K4" s="1375"/>
    </row>
    <row r="5" spans="1:13" ht="24.75" customHeight="1">
      <c r="A5" s="1382" t="s">
        <v>446</v>
      </c>
      <c r="B5" s="1383"/>
      <c r="C5" s="1352">
        <f>入力シート!G45</f>
        <v>0</v>
      </c>
      <c r="D5" s="1353"/>
      <c r="E5" s="445" t="s">
        <v>61</v>
      </c>
      <c r="F5" s="1356" t="s">
        <v>447</v>
      </c>
      <c r="G5" s="1351"/>
      <c r="H5" s="1370">
        <f>計算シート!H77*10000</f>
        <v>10000</v>
      </c>
      <c r="I5" s="1371"/>
      <c r="J5" s="1371"/>
      <c r="K5" s="341" t="s">
        <v>67</v>
      </c>
      <c r="L5" s="542">
        <f>入力シート!N154</f>
        <v>0</v>
      </c>
    </row>
    <row r="6" spans="1:13" ht="24.75" customHeight="1">
      <c r="A6" s="1356" t="s">
        <v>62</v>
      </c>
      <c r="B6" s="1351"/>
      <c r="C6" s="1352">
        <f>入力シート!G46</f>
        <v>0</v>
      </c>
      <c r="D6" s="1353"/>
      <c r="E6" s="445" t="s">
        <v>61</v>
      </c>
      <c r="F6" s="1354" t="str">
        <f>入力シート!B155</f>
        <v/>
      </c>
      <c r="G6" s="1355"/>
      <c r="H6" s="1370" t="str">
        <f>IF(入力シート!F155="","",入力シート!F155*10000)</f>
        <v/>
      </c>
      <c r="I6" s="1371"/>
      <c r="J6" s="1371"/>
      <c r="K6" s="341" t="str">
        <f>IF(H6="","","円")</f>
        <v/>
      </c>
      <c r="L6" s="542" t="str">
        <f>入力シート!N155</f>
        <v/>
      </c>
    </row>
    <row r="7" spans="1:13" ht="24.75" customHeight="1">
      <c r="A7" s="1350" t="s">
        <v>448</v>
      </c>
      <c r="B7" s="1351"/>
      <c r="C7" s="1352">
        <f>入力シート!G47</f>
        <v>0</v>
      </c>
      <c r="D7" s="1353"/>
      <c r="E7" s="445" t="s">
        <v>61</v>
      </c>
      <c r="F7" s="1354" t="str">
        <f>入力シート!B156</f>
        <v/>
      </c>
      <c r="G7" s="1355"/>
      <c r="H7" s="1370" t="str">
        <f>IF(入力シート!F156="","",入力シート!F156*10000)</f>
        <v/>
      </c>
      <c r="I7" s="1371"/>
      <c r="J7" s="1371"/>
      <c r="K7" s="341" t="str">
        <f>IF(H7="","","円")</f>
        <v/>
      </c>
      <c r="L7" s="542" t="str">
        <f>入力シート!N156</f>
        <v/>
      </c>
    </row>
    <row r="8" spans="1:13" ht="24.75" customHeight="1">
      <c r="A8" s="1356" t="s">
        <v>449</v>
      </c>
      <c r="B8" s="1351"/>
      <c r="C8" s="1352">
        <f>入力シート!G48</f>
        <v>0</v>
      </c>
      <c r="D8" s="1353"/>
      <c r="E8" s="445" t="s">
        <v>61</v>
      </c>
      <c r="F8" s="1354" t="str">
        <f>入力シート!B157</f>
        <v/>
      </c>
      <c r="G8" s="1355"/>
      <c r="H8" s="1370" t="str">
        <f>IF(入力シート!J157="","",入力シート!J157*10000)</f>
        <v/>
      </c>
      <c r="I8" s="1371"/>
      <c r="J8" s="1371"/>
      <c r="K8" s="341" t="str">
        <f>IF(H8="","","円")</f>
        <v/>
      </c>
      <c r="L8" s="542" t="str">
        <f>入力シート!N157</f>
        <v/>
      </c>
    </row>
    <row r="9" spans="1:13" ht="24.75" customHeight="1">
      <c r="A9" s="446"/>
      <c r="B9" s="446"/>
      <c r="C9" s="447"/>
      <c r="D9" s="447"/>
      <c r="E9" s="445"/>
      <c r="F9" s="1354" t="str">
        <f>入力シート!B158</f>
        <v/>
      </c>
      <c r="G9" s="1355"/>
      <c r="H9" s="1370" t="str">
        <f>IF(入力シート!F158="","",入力シート!F158*10000)</f>
        <v/>
      </c>
      <c r="I9" s="1371"/>
      <c r="J9" s="1371"/>
      <c r="K9" s="341" t="str">
        <f>IF(H9="","","円")</f>
        <v/>
      </c>
      <c r="L9" s="542" t="str">
        <f>入力シート!N158</f>
        <v/>
      </c>
    </row>
    <row r="10" spans="1:13" ht="24.75" customHeight="1">
      <c r="A10" s="225"/>
      <c r="B10" s="225"/>
      <c r="C10" s="225"/>
      <c r="D10" s="225"/>
      <c r="E10" s="226"/>
      <c r="F10" s="1356" t="s">
        <v>81</v>
      </c>
      <c r="G10" s="1351"/>
      <c r="H10" s="1370">
        <f>入力シート!L159</f>
        <v>-10000</v>
      </c>
      <c r="I10" s="1371"/>
      <c r="J10" s="1371"/>
      <c r="K10" s="448" t="s">
        <v>67</v>
      </c>
    </row>
    <row r="11" spans="1:13" ht="24.75" customHeight="1">
      <c r="A11" s="1384" t="s">
        <v>66</v>
      </c>
      <c r="B11" s="1385"/>
      <c r="C11" s="1361">
        <f>SUM(C5:D8)</f>
        <v>0</v>
      </c>
      <c r="D11" s="1362"/>
      <c r="E11" s="226" t="s">
        <v>67</v>
      </c>
      <c r="F11" s="1384" t="s">
        <v>66</v>
      </c>
      <c r="G11" s="1385"/>
      <c r="H11" s="1353">
        <f>SUM(H5:J10)</f>
        <v>0</v>
      </c>
      <c r="I11" s="1372"/>
      <c r="J11" s="1372"/>
      <c r="K11" s="448" t="s">
        <v>67</v>
      </c>
    </row>
    <row r="12" spans="1:13" s="26" customFormat="1" ht="25.5" customHeight="1" thickBot="1">
      <c r="A12" s="19" t="s">
        <v>450</v>
      </c>
      <c r="C12" s="1381" t="str">
        <f>IF(AND(計算シート!R8&gt;=4,計算シート!R9=1),"リノベと維持保全型は併用できませんが、維持保全型の適用をナシとして計算しています。入力シートを修正してください。",IF(計算シート!M8=0,"","フラット３５の金利引下プランにより"&amp;IF(OR(ポイントメニュー!G22="",ポイントメニュー!G22=0),ポイントメニュー!D21&amp;ポイントメニュー!E21&amp;ポイントメニュー!F21&amp;ポイントメニュー!G21&amp;ポイントメニュー!H21,ポイントメニュー!D21&amp;ポイントメニュー!E21&amp;ポイントメニュー!F21&amp;ポイントメニュー!G21&amp;ポイントメニュー!H21&amp;ポイントメニュー!D22&amp;ポイントメニュー!E22&amp;ポイントメニュー!F22&amp;ポイントメニュー!G22&amp;ポイントメニュー!H22)&amp;"になっています。"))</f>
        <v/>
      </c>
      <c r="D12" s="1381"/>
      <c r="E12" s="1381"/>
      <c r="F12" s="1381"/>
      <c r="G12" s="1381"/>
      <c r="H12" s="1381"/>
      <c r="I12" s="1381"/>
      <c r="J12" s="1381"/>
      <c r="K12" s="1381"/>
      <c r="L12" s="1381"/>
      <c r="M12" s="1381"/>
    </row>
    <row r="13" spans="1:13" ht="18.75" customHeight="1">
      <c r="A13" s="449" t="s">
        <v>451</v>
      </c>
      <c r="B13" s="543"/>
      <c r="C13" s="543"/>
      <c r="D13" s="543"/>
      <c r="E13" s="544" t="s">
        <v>452</v>
      </c>
      <c r="F13" s="1244" t="s">
        <v>453</v>
      </c>
      <c r="G13" s="1244"/>
      <c r="H13" s="1237" t="str">
        <f>入力シート!J118</f>
        <v>0年間</v>
      </c>
      <c r="I13" s="1237"/>
      <c r="J13" s="1244" t="str">
        <f>入力シート!L118</f>
        <v/>
      </c>
      <c r="K13" s="1244"/>
      <c r="L13" s="1244" t="str">
        <f>入力シート!N118</f>
        <v/>
      </c>
      <c r="M13" s="1251"/>
    </row>
    <row r="14" spans="1:13" ht="18.75" customHeight="1">
      <c r="A14" s="1290" t="s">
        <v>118</v>
      </c>
      <c r="B14" s="1364" t="str">
        <f>入力シート!C119</f>
        <v>MSJフラット</v>
      </c>
      <c r="C14" s="1365"/>
      <c r="D14" s="450" t="str">
        <f>入力シート!F119</f>
        <v>(年)</v>
      </c>
      <c r="E14" s="451">
        <f>計算シート!C89</f>
        <v>1.43E-2</v>
      </c>
      <c r="F14" s="1283">
        <f>計算シート!C112</f>
        <v>1</v>
      </c>
      <c r="G14" s="1357"/>
      <c r="H14" s="1242" t="e">
        <f>入力シート!J119</f>
        <v>#NUM!</v>
      </c>
      <c r="I14" s="1243"/>
      <c r="J14" s="1245" t="str">
        <f>入力シート!L119</f>
        <v/>
      </c>
      <c r="K14" s="1246"/>
      <c r="L14" s="1243" t="str">
        <f>入力シート!N119</f>
        <v/>
      </c>
      <c r="M14" s="1252"/>
    </row>
    <row r="15" spans="1:13" ht="18.75" customHeight="1">
      <c r="A15" s="1290"/>
      <c r="B15" s="1292" t="str">
        <f>入力シート!C120</f>
        <v/>
      </c>
      <c r="C15" s="1293"/>
      <c r="D15" s="450" t="str">
        <f>入力シート!F120</f>
        <v/>
      </c>
      <c r="E15" s="545" t="str">
        <f>IF(B15="","",計算シート!C186)</f>
        <v/>
      </c>
      <c r="F15" s="1283" t="str">
        <f>入力シート!G120</f>
        <v/>
      </c>
      <c r="G15" s="1357"/>
      <c r="H15" s="1242" t="str">
        <f>入力シート!J120</f>
        <v/>
      </c>
      <c r="I15" s="1243"/>
      <c r="J15" s="1245" t="str">
        <f>入力シート!L120</f>
        <v/>
      </c>
      <c r="K15" s="1246"/>
      <c r="L15" s="1243" t="str">
        <f>入力シート!N120</f>
        <v/>
      </c>
      <c r="M15" s="1252"/>
    </row>
    <row r="16" spans="1:13" ht="18.75" customHeight="1">
      <c r="A16" s="1290"/>
      <c r="B16" s="1292" t="str">
        <f>入力シート!C121</f>
        <v/>
      </c>
      <c r="C16" s="1293"/>
      <c r="D16" s="450" t="str">
        <f>入力シート!F121</f>
        <v/>
      </c>
      <c r="E16" s="545" t="str">
        <f>IF(B16="","",計算シート!M146)</f>
        <v/>
      </c>
      <c r="F16" s="1283" t="str">
        <f>入力シート!G121</f>
        <v/>
      </c>
      <c r="G16" s="1357"/>
      <c r="H16" s="1242" t="str">
        <f>入力シート!J121</f>
        <v/>
      </c>
      <c r="I16" s="1243"/>
      <c r="J16" s="1245" t="str">
        <f>入力シート!L121</f>
        <v/>
      </c>
      <c r="K16" s="1246"/>
      <c r="L16" s="1243" t="str">
        <f>入力シート!N121</f>
        <v/>
      </c>
      <c r="M16" s="1252"/>
    </row>
    <row r="17" spans="1:13" ht="18.75" customHeight="1">
      <c r="A17" s="1290"/>
      <c r="B17" s="1292" t="str">
        <f>入力シート!C122</f>
        <v/>
      </c>
      <c r="C17" s="1293"/>
      <c r="D17" s="450" t="str">
        <f>入力シート!F122</f>
        <v/>
      </c>
      <c r="E17" s="545" t="str">
        <f>IF(B17="","",計算シート!C196)</f>
        <v/>
      </c>
      <c r="F17" s="1283" t="str">
        <f>入力シート!G122</f>
        <v/>
      </c>
      <c r="G17" s="1357"/>
      <c r="H17" s="1242" t="str">
        <f>入力シート!J122</f>
        <v/>
      </c>
      <c r="I17" s="1243"/>
      <c r="J17" s="1245" t="str">
        <f>入力シート!L122</f>
        <v/>
      </c>
      <c r="K17" s="1246"/>
      <c r="L17" s="1243" t="str">
        <f>入力シート!N122</f>
        <v/>
      </c>
      <c r="M17" s="1252"/>
    </row>
    <row r="18" spans="1:13" ht="18.75" customHeight="1" thickBot="1">
      <c r="A18" s="1290"/>
      <c r="B18" s="1366"/>
      <c r="C18" s="1367"/>
      <c r="D18" s="1368"/>
      <c r="E18" s="23"/>
      <c r="F18" s="1288"/>
      <c r="G18" s="1363"/>
      <c r="H18" s="1240"/>
      <c r="I18" s="1241"/>
      <c r="J18" s="1247"/>
      <c r="K18" s="1248"/>
      <c r="L18" s="1255"/>
      <c r="M18" s="1256"/>
    </row>
    <row r="19" spans="1:13" ht="18.75" customHeight="1" thickTop="1" thickBot="1">
      <c r="A19" s="1291"/>
      <c r="B19" s="1358" t="s">
        <v>66</v>
      </c>
      <c r="C19" s="1359"/>
      <c r="D19" s="1359"/>
      <c r="E19" s="1360"/>
      <c r="F19" s="1306">
        <f>SUM(F14:G18)</f>
        <v>1</v>
      </c>
      <c r="G19" s="1307"/>
      <c r="H19" s="1238" t="e">
        <f>SUM(H14:I18)</f>
        <v>#NUM!</v>
      </c>
      <c r="I19" s="1239"/>
      <c r="J19" s="1249" t="str">
        <f>IF(SUM(J14:K18)=0,"",SUM(J14:K18))</f>
        <v/>
      </c>
      <c r="K19" s="1250"/>
      <c r="L19" s="1253" t="str">
        <f>IF(SUM(L14:M18)=0,"",SUM(L14:M18))</f>
        <v/>
      </c>
      <c r="M19" s="1254"/>
    </row>
    <row r="20" spans="1:13" ht="6.75" customHeight="1" thickBot="1">
      <c r="A20" s="2"/>
      <c r="B20" s="3"/>
      <c r="C20" s="3"/>
      <c r="D20" s="3"/>
      <c r="E20" s="4"/>
      <c r="F20" s="260"/>
      <c r="G20" s="260"/>
      <c r="H20" s="259"/>
      <c r="I20" s="261"/>
      <c r="J20" s="261"/>
      <c r="K20" s="261"/>
      <c r="L20" s="261"/>
      <c r="M20" s="9"/>
    </row>
    <row r="21" spans="1:13" ht="18.75" customHeight="1">
      <c r="A21" s="1289" t="s">
        <v>119</v>
      </c>
      <c r="B21" s="1257" t="str">
        <f>入力シート!C126</f>
        <v/>
      </c>
      <c r="C21" s="1258"/>
      <c r="D21" s="452" t="str">
        <f>入力シート!F126</f>
        <v/>
      </c>
      <c r="E21" s="453" t="str">
        <f>IF(B21="","",計算シート!C89)</f>
        <v/>
      </c>
      <c r="F21" s="1369" t="str">
        <f>入力シート!G126</f>
        <v/>
      </c>
      <c r="G21" s="1369"/>
      <c r="H21" s="1276" t="e">
        <f>入力シート!J126</f>
        <v>#NUM!</v>
      </c>
      <c r="I21" s="1277"/>
      <c r="J21" s="1227" t="str">
        <f>入力シート!L126</f>
        <v/>
      </c>
      <c r="K21" s="1228"/>
      <c r="L21" s="1227" t="e">
        <f>入力シート!N126</f>
        <v>#NUM!</v>
      </c>
      <c r="M21" s="1234"/>
    </row>
    <row r="22" spans="1:13" ht="18.75" customHeight="1">
      <c r="A22" s="1290"/>
      <c r="B22" s="1292" t="str">
        <f>入力シート!C127</f>
        <v/>
      </c>
      <c r="C22" s="1293"/>
      <c r="D22" s="454" t="str">
        <f>入力シート!F127</f>
        <v/>
      </c>
      <c r="E22" s="546" t="str">
        <f>IF(B22="","",計算シート!M146)</f>
        <v/>
      </c>
      <c r="F22" s="1283" t="str">
        <f>入力シート!G127</f>
        <v/>
      </c>
      <c r="G22" s="1283"/>
      <c r="H22" s="1274" t="str">
        <f>入力シート!J127</f>
        <v/>
      </c>
      <c r="I22" s="1275"/>
      <c r="J22" s="1225" t="str">
        <f>入力シート!L127</f>
        <v/>
      </c>
      <c r="K22" s="1226"/>
      <c r="L22" s="1225" t="str">
        <f>入力シート!N127</f>
        <v/>
      </c>
      <c r="M22" s="1233"/>
    </row>
    <row r="23" spans="1:13" ht="18.75" customHeight="1">
      <c r="A23" s="1290"/>
      <c r="B23" s="1292" t="str">
        <f>入力シート!C128</f>
        <v/>
      </c>
      <c r="C23" s="1293"/>
      <c r="D23" s="454" t="str">
        <f>入力シート!F128</f>
        <v/>
      </c>
      <c r="E23" s="546" t="str">
        <f>IF(B23="","",計算シート!C196)</f>
        <v/>
      </c>
      <c r="F23" s="1283" t="str">
        <f>入力シート!G128</f>
        <v/>
      </c>
      <c r="G23" s="1283"/>
      <c r="H23" s="1274" t="str">
        <f>入力シート!J128</f>
        <v/>
      </c>
      <c r="I23" s="1275"/>
      <c r="J23" s="1225" t="str">
        <f>入力シート!L128</f>
        <v/>
      </c>
      <c r="K23" s="1226"/>
      <c r="L23" s="1225" t="str">
        <f>入力シート!N128</f>
        <v/>
      </c>
      <c r="M23" s="1233"/>
    </row>
    <row r="24" spans="1:13" ht="18.75" customHeight="1" thickBot="1">
      <c r="A24" s="1290"/>
      <c r="B24" s="1284"/>
      <c r="C24" s="1285"/>
      <c r="D24" s="1286"/>
      <c r="E24" s="23"/>
      <c r="F24" s="1287"/>
      <c r="G24" s="1288"/>
      <c r="H24" s="1272"/>
      <c r="I24" s="1273"/>
      <c r="J24" s="1231"/>
      <c r="K24" s="1279"/>
      <c r="L24" s="1231"/>
      <c r="M24" s="1232"/>
    </row>
    <row r="25" spans="1:13" ht="18.75" customHeight="1" thickTop="1" thickBot="1">
      <c r="A25" s="1291"/>
      <c r="B25" s="1280" t="s">
        <v>66</v>
      </c>
      <c r="C25" s="1281"/>
      <c r="D25" s="1281"/>
      <c r="E25" s="1282"/>
      <c r="F25" s="1306" t="str">
        <f>IF(AND(F21="",F22="",F23="",F24=""),"",SUM(F21:G24))</f>
        <v/>
      </c>
      <c r="G25" s="1307"/>
      <c r="H25" s="1238" t="e">
        <f>IF(AND(H21="",H22="",H23="",H24=""),"",SUM(H21:I24))</f>
        <v>#NUM!</v>
      </c>
      <c r="I25" s="1239"/>
      <c r="J25" s="1229" t="str">
        <f>IF(AND(J21="",J22="",J23="",J24=""),"",SUM(J21:K24))</f>
        <v/>
      </c>
      <c r="K25" s="1278"/>
      <c r="L25" s="1229" t="e">
        <f>IF(AND(L21="",L22="",L23="",L24=""),"",SUM(L21:M24))</f>
        <v>#NUM!</v>
      </c>
      <c r="M25" s="1230"/>
    </row>
    <row r="26" spans="1:13" s="25" customFormat="1" ht="28.5" customHeight="1" thickBot="1">
      <c r="A26" s="1299" t="str">
        <f>IF(計算シート!M8&gt;0,"※金利引下げ制度利用につき、当該期間中のMSJフラットの返済額はMSJフラット35の表示金利より引下げた金利にて試算しております。","")</f>
        <v/>
      </c>
      <c r="B26" s="1299"/>
      <c r="C26" s="1299"/>
      <c r="D26" s="1299"/>
      <c r="E26" s="1299"/>
      <c r="F26" s="1299"/>
      <c r="G26" s="1299"/>
      <c r="H26" s="1299"/>
      <c r="I26" s="1299"/>
      <c r="J26" s="1299"/>
      <c r="K26" s="1299"/>
      <c r="L26" s="1299"/>
      <c r="M26" s="24"/>
    </row>
    <row r="27" spans="1:13" ht="18.75" customHeight="1">
      <c r="A27" s="1300" t="str">
        <f>入力シート!B132</f>
        <v>【つなぎ融資利息】</v>
      </c>
      <c r="B27" s="1244"/>
      <c r="C27" s="1244"/>
      <c r="D27" s="1260"/>
      <c r="E27" s="1259" t="s">
        <v>454</v>
      </c>
      <c r="F27" s="1260"/>
      <c r="G27" s="1259" t="str">
        <f>入力シート!I132</f>
        <v>利息</v>
      </c>
      <c r="H27" s="1260"/>
      <c r="I27" s="1259" t="str">
        <f>入力シート!K132</f>
        <v>手数料</v>
      </c>
      <c r="J27" s="1260"/>
      <c r="K27" s="1259" t="str">
        <f>入力シート!M132</f>
        <v>合計</v>
      </c>
      <c r="L27" s="1251"/>
      <c r="M27" s="27"/>
    </row>
    <row r="28" spans="1:13" ht="18.75" customHeight="1">
      <c r="A28" s="455" t="str">
        <f>IF(入力シート!G99="","",入力シート!G99)</f>
        <v/>
      </c>
      <c r="B28" s="1270" t="str">
        <f>入力シート!C133</f>
        <v/>
      </c>
      <c r="C28" s="1270"/>
      <c r="D28" s="1270"/>
      <c r="E28" s="1271" t="str">
        <f>入力シート!F133</f>
        <v/>
      </c>
      <c r="F28" s="1271"/>
      <c r="G28" s="1269" t="str">
        <f>入力シート!I133</f>
        <v/>
      </c>
      <c r="H28" s="1269"/>
      <c r="I28" s="1269" t="str">
        <f>入力シート!K133</f>
        <v/>
      </c>
      <c r="J28" s="1269"/>
      <c r="K28" s="1267" t="str">
        <f>入力シート!M133</f>
        <v/>
      </c>
      <c r="L28" s="1268"/>
      <c r="M28" s="28"/>
    </row>
    <row r="29" spans="1:13" ht="18.75" customHeight="1">
      <c r="A29" s="267" t="str">
        <f>IF(入力シート!G102="","",入力シート!G102)</f>
        <v/>
      </c>
      <c r="B29" s="1270" t="str">
        <f>入力シート!C134</f>
        <v/>
      </c>
      <c r="C29" s="1270"/>
      <c r="D29" s="1270"/>
      <c r="E29" s="1271" t="str">
        <f>入力シート!F134</f>
        <v/>
      </c>
      <c r="F29" s="1271"/>
      <c r="G29" s="1269" t="str">
        <f>入力シート!I134</f>
        <v/>
      </c>
      <c r="H29" s="1269"/>
      <c r="I29" s="1269" t="str">
        <f>入力シート!K134</f>
        <v/>
      </c>
      <c r="J29" s="1269"/>
      <c r="K29" s="1267" t="str">
        <f>入力シート!M134</f>
        <v/>
      </c>
      <c r="L29" s="1268"/>
      <c r="M29" s="28"/>
    </row>
    <row r="30" spans="1:13" ht="18.75" customHeight="1">
      <c r="A30" s="267" t="str">
        <f>IF(入力シート!G105="","",入力シート!G105)</f>
        <v/>
      </c>
      <c r="B30" s="1270" t="str">
        <f>入力シート!C135</f>
        <v/>
      </c>
      <c r="C30" s="1270"/>
      <c r="D30" s="1270"/>
      <c r="E30" s="1271" t="str">
        <f>入力シート!F135</f>
        <v/>
      </c>
      <c r="F30" s="1271"/>
      <c r="G30" s="1269" t="str">
        <f>入力シート!I135</f>
        <v/>
      </c>
      <c r="H30" s="1269"/>
      <c r="I30" s="1269" t="str">
        <f>入力シート!K135</f>
        <v/>
      </c>
      <c r="J30" s="1269"/>
      <c r="K30" s="1267" t="str">
        <f>入力シート!M135</f>
        <v/>
      </c>
      <c r="L30" s="1268"/>
      <c r="M30" s="28"/>
    </row>
    <row r="31" spans="1:13" ht="18.75" customHeight="1">
      <c r="A31" s="267" t="str">
        <f>IF(入力シート!G108="","",入力シート!G108)</f>
        <v/>
      </c>
      <c r="B31" s="1270" t="str">
        <f>入力シート!C136</f>
        <v/>
      </c>
      <c r="C31" s="1270"/>
      <c r="D31" s="1270"/>
      <c r="E31" s="1271" t="str">
        <f>入力シート!F136</f>
        <v/>
      </c>
      <c r="F31" s="1271"/>
      <c r="G31" s="1269" t="str">
        <f>入力シート!I136</f>
        <v/>
      </c>
      <c r="H31" s="1269"/>
      <c r="I31" s="1269" t="str">
        <f>入力シート!K136</f>
        <v/>
      </c>
      <c r="J31" s="1269"/>
      <c r="K31" s="1267" t="str">
        <f>入力シート!M136</f>
        <v/>
      </c>
      <c r="L31" s="1268"/>
      <c r="M31" s="28"/>
    </row>
    <row r="32" spans="1:13" ht="18.75" customHeight="1" thickBot="1">
      <c r="A32" s="268" t="str">
        <f>IF(入力シート!G111="","",入力シート!G111)</f>
        <v/>
      </c>
      <c r="B32" s="1264" t="str">
        <f>入力シート!C137</f>
        <v/>
      </c>
      <c r="C32" s="1264"/>
      <c r="D32" s="1264"/>
      <c r="E32" s="1261" t="str">
        <f>入力シート!F137</f>
        <v/>
      </c>
      <c r="F32" s="1261"/>
      <c r="G32" s="1296" t="str">
        <f>入力シート!I137</f>
        <v/>
      </c>
      <c r="H32" s="1296"/>
      <c r="I32" s="1296" t="str">
        <f>入力シート!K137</f>
        <v/>
      </c>
      <c r="J32" s="1296"/>
      <c r="K32" s="1297" t="str">
        <f>入力シート!M137</f>
        <v/>
      </c>
      <c r="L32" s="1298"/>
      <c r="M32" s="28"/>
    </row>
    <row r="33" spans="1:12" ht="15.75" customHeight="1">
      <c r="A33" s="269"/>
      <c r="B33" s="1303" t="str">
        <f>IF(D33="","","フラット実行予定日")</f>
        <v/>
      </c>
      <c r="C33" s="1303"/>
      <c r="D33" s="270" t="str">
        <f>IF(入力シート!G96="","",入力シート!G96)</f>
        <v/>
      </c>
      <c r="E33" s="1304">
        <f>SUM(E28:F32)</f>
        <v>0</v>
      </c>
      <c r="F33" s="1305"/>
      <c r="G33" s="269" t="s">
        <v>455</v>
      </c>
      <c r="H33" s="269"/>
      <c r="I33" s="269"/>
      <c r="J33" s="269"/>
      <c r="K33" s="269"/>
    </row>
    <row r="34" spans="1:12" ht="9" customHeight="1"/>
    <row r="35" spans="1:12" ht="20.25" customHeight="1" thickBot="1">
      <c r="A35" s="1" t="s">
        <v>456</v>
      </c>
      <c r="C35" s="105" t="str">
        <f>IF(C38=計算シート!H13,"　　※　フラット３５の最低融資手数料は"&amp;計算シート!H13&amp;"円です","")</f>
        <v>　　※　フラット３５の最低融資手数料は220000円です</v>
      </c>
      <c r="E35" s="26"/>
    </row>
    <row r="36" spans="1:12" ht="24.75" customHeight="1">
      <c r="A36" s="20" t="s">
        <v>457</v>
      </c>
      <c r="B36" s="456"/>
      <c r="C36" s="1265"/>
      <c r="D36" s="1266"/>
      <c r="E36" s="1262"/>
      <c r="F36" s="1263"/>
      <c r="G36" s="1262"/>
      <c r="H36" s="1263"/>
      <c r="I36" s="1337"/>
      <c r="J36" s="1338"/>
      <c r="K36" s="1259" t="s">
        <v>66</v>
      </c>
      <c r="L36" s="1251"/>
    </row>
    <row r="37" spans="1:12" ht="9" customHeight="1">
      <c r="A37" s="1345" t="s">
        <v>126</v>
      </c>
      <c r="B37" s="1346"/>
      <c r="C37" s="1341" t="s">
        <v>458</v>
      </c>
      <c r="D37" s="1342"/>
      <c r="E37" s="1343" t="str">
        <f>入力シート!G141</f>
        <v/>
      </c>
      <c r="F37" s="1344"/>
      <c r="G37" s="1343" t="str">
        <f>入力シート!I141</f>
        <v/>
      </c>
      <c r="H37" s="1344"/>
      <c r="I37" s="1343" t="str">
        <f>入力シート!K141</f>
        <v/>
      </c>
      <c r="J37" s="1344"/>
      <c r="K37" s="266"/>
      <c r="L37" s="457"/>
    </row>
    <row r="38" spans="1:12" ht="14.25">
      <c r="A38" s="1347"/>
      <c r="B38" s="1348"/>
      <c r="C38" s="1339">
        <f>入力シート!E142</f>
        <v>220000.00000000003</v>
      </c>
      <c r="D38" s="1339"/>
      <c r="E38" s="1339" t="str">
        <f>入力シート!G142</f>
        <v/>
      </c>
      <c r="F38" s="1339"/>
      <c r="G38" s="1336" t="str">
        <f>入力シート!I142</f>
        <v/>
      </c>
      <c r="H38" s="1336"/>
      <c r="I38" s="1336" t="str">
        <f>入力シート!K142</f>
        <v/>
      </c>
      <c r="J38" s="1336"/>
      <c r="K38" s="1294">
        <f>SUM(C38:J38)</f>
        <v>220000.00000000003</v>
      </c>
      <c r="L38" s="1295"/>
    </row>
    <row r="39" spans="1:12" ht="9" customHeight="1">
      <c r="A39" s="1345" t="s">
        <v>459</v>
      </c>
      <c r="B39" s="1349"/>
      <c r="C39" s="1301" t="str">
        <f>入力シート!E143</f>
        <v/>
      </c>
      <c r="D39" s="1302"/>
      <c r="E39" s="1301" t="str">
        <f>入力シート!G143</f>
        <v/>
      </c>
      <c r="F39" s="1302"/>
      <c r="G39" s="458"/>
      <c r="H39" s="459"/>
      <c r="I39" s="459"/>
      <c r="J39" s="460"/>
      <c r="K39" s="228"/>
      <c r="L39" s="461"/>
    </row>
    <row r="40" spans="1:12" ht="14.25">
      <c r="A40" s="1347"/>
      <c r="B40" s="1348"/>
      <c r="C40" s="1340" t="str">
        <f>入力シート!E144</f>
        <v/>
      </c>
      <c r="D40" s="1340"/>
      <c r="E40" s="1340" t="str">
        <f>入力シート!G144</f>
        <v/>
      </c>
      <c r="F40" s="1340"/>
      <c r="G40" s="227"/>
      <c r="H40" s="229"/>
      <c r="I40" s="230"/>
      <c r="J40" s="231"/>
      <c r="K40" s="1294">
        <f>SUM(C40:J40)</f>
        <v>0</v>
      </c>
      <c r="L40" s="1295"/>
    </row>
    <row r="41" spans="1:12" ht="18.75" customHeight="1">
      <c r="A41" s="1324"/>
      <c r="B41" s="1325"/>
      <c r="C41" s="1312"/>
      <c r="D41" s="1312"/>
      <c r="E41" s="1312"/>
      <c r="F41" s="1312"/>
      <c r="G41" s="1312"/>
      <c r="H41" s="1312"/>
      <c r="I41" s="1334" t="str">
        <f>IF(AND(SUM(C41:H41)=0,A41=""),"",SUM(C41:H41))</f>
        <v/>
      </c>
      <c r="J41" s="1335"/>
      <c r="K41" s="1330"/>
      <c r="L41" s="1331"/>
    </row>
    <row r="42" spans="1:12" ht="18.75" customHeight="1">
      <c r="A42" s="1324"/>
      <c r="B42" s="1325"/>
      <c r="C42" s="1312"/>
      <c r="D42" s="1312"/>
      <c r="E42" s="1312"/>
      <c r="F42" s="1312"/>
      <c r="G42" s="1312"/>
      <c r="H42" s="1312"/>
      <c r="I42" s="1334" t="str">
        <f>IF(AND(SUM(C42:H42)=0,A42=""),"",SUM(C42:H42))</f>
        <v/>
      </c>
      <c r="J42" s="1335"/>
      <c r="K42" s="1330"/>
      <c r="L42" s="1331"/>
    </row>
    <row r="43" spans="1:12" ht="18.75" customHeight="1" thickBot="1">
      <c r="A43" s="1322"/>
      <c r="B43" s="1323"/>
      <c r="C43" s="1311"/>
      <c r="D43" s="1311"/>
      <c r="E43" s="1311"/>
      <c r="F43" s="1311"/>
      <c r="G43" s="1311"/>
      <c r="H43" s="1311"/>
      <c r="I43" s="1332" t="str">
        <f t="shared" ref="I43" si="0">IF(AND(SUM(C43:H43)=0,A43=""),"",SUM(C43:H43))</f>
        <v/>
      </c>
      <c r="J43" s="1333"/>
      <c r="K43" s="1328">
        <f>SUM(K38:L42)</f>
        <v>220000.00000000003</v>
      </c>
      <c r="L43" s="1329"/>
    </row>
    <row r="44" spans="1:12" ht="9.75" customHeight="1">
      <c r="A44" s="10"/>
      <c r="B44" s="10"/>
      <c r="C44" s="10"/>
      <c r="D44" s="10"/>
      <c r="E44" s="10"/>
      <c r="F44" s="10"/>
      <c r="G44" s="10"/>
      <c r="H44" s="10"/>
      <c r="I44" s="10"/>
      <c r="J44" s="10"/>
      <c r="K44" s="10"/>
    </row>
    <row r="45" spans="1:12" ht="18.75" customHeight="1">
      <c r="A45" s="5" t="s">
        <v>460</v>
      </c>
      <c r="G45" s="1327" t="s">
        <v>461</v>
      </c>
      <c r="H45" s="1327"/>
      <c r="I45" s="1326"/>
      <c r="J45" s="1326"/>
      <c r="K45" s="1326"/>
    </row>
    <row r="46" spans="1:12" ht="18.75" customHeight="1">
      <c r="A46" s="1313"/>
      <c r="B46" s="1314"/>
      <c r="C46" s="1314"/>
      <c r="D46" s="1314"/>
      <c r="E46" s="1314"/>
      <c r="F46" s="1315"/>
      <c r="H46" s="21" t="s">
        <v>462</v>
      </c>
      <c r="I46" s="1310"/>
      <c r="J46" s="1310"/>
      <c r="K46" s="1310"/>
    </row>
    <row r="47" spans="1:12" ht="18.75" customHeight="1">
      <c r="A47" s="1316"/>
      <c r="B47" s="1317"/>
      <c r="C47" s="1317"/>
      <c r="D47" s="1317"/>
      <c r="E47" s="1317"/>
      <c r="F47" s="1318"/>
      <c r="H47" s="21" t="s">
        <v>463</v>
      </c>
      <c r="I47" s="1310"/>
      <c r="J47" s="1310"/>
      <c r="K47" s="1310"/>
    </row>
    <row r="48" spans="1:12" ht="18.75" customHeight="1">
      <c r="A48" s="1319"/>
      <c r="B48" s="1320"/>
      <c r="C48" s="1320"/>
      <c r="D48" s="1320"/>
      <c r="E48" s="1320"/>
      <c r="F48" s="1321"/>
      <c r="H48" s="21" t="s">
        <v>464</v>
      </c>
      <c r="I48" s="1310"/>
      <c r="J48" s="1310"/>
      <c r="K48" s="1310"/>
    </row>
    <row r="49" spans="1:11" ht="10.5" customHeight="1"/>
    <row r="50" spans="1:11" ht="10.5" customHeight="1">
      <c r="A50" s="11" t="s">
        <v>465</v>
      </c>
      <c r="B50" s="1309" t="s">
        <v>466</v>
      </c>
      <c r="C50" s="1309"/>
      <c r="D50" s="1309"/>
      <c r="E50" s="1309"/>
      <c r="F50" s="1309"/>
      <c r="G50" s="1309"/>
      <c r="H50" s="1309"/>
      <c r="I50" s="1309"/>
      <c r="J50" s="1309"/>
      <c r="K50" s="6"/>
    </row>
    <row r="51" spans="1:11" ht="10.5" customHeight="1">
      <c r="A51" s="12"/>
      <c r="B51" s="1308" t="s">
        <v>467</v>
      </c>
      <c r="C51" s="1308"/>
      <c r="D51" s="1308"/>
      <c r="E51" s="1308"/>
      <c r="F51" s="1308"/>
      <c r="G51" s="1308"/>
      <c r="H51" s="1308"/>
      <c r="I51" s="1308"/>
      <c r="J51" s="1308"/>
      <c r="K51" s="7"/>
    </row>
    <row r="52" spans="1:11" ht="10.5" customHeight="1">
      <c r="A52" s="12"/>
      <c r="B52" s="13" t="s">
        <v>468</v>
      </c>
      <c r="C52" s="13"/>
      <c r="D52" s="13"/>
      <c r="E52" s="13"/>
      <c r="F52" s="13"/>
      <c r="G52" s="13"/>
      <c r="H52" s="13"/>
      <c r="I52" s="13"/>
      <c r="J52" s="13"/>
      <c r="K52" s="8"/>
    </row>
    <row r="53" spans="1:11" ht="10.5" customHeight="1">
      <c r="A53" s="12"/>
      <c r="B53" s="13" t="s">
        <v>469</v>
      </c>
      <c r="C53" s="13"/>
      <c r="D53" s="13"/>
      <c r="E53" s="13"/>
      <c r="F53" s="13"/>
      <c r="G53" s="13"/>
      <c r="H53" s="13"/>
      <c r="I53" s="13"/>
      <c r="J53" s="13"/>
      <c r="K53" s="8"/>
    </row>
    <row r="54" spans="1:11" ht="10.5" customHeight="1">
      <c r="A54" s="12"/>
      <c r="B54" s="13" t="s">
        <v>470</v>
      </c>
      <c r="C54" s="13"/>
      <c r="D54" s="13"/>
      <c r="E54" s="13"/>
      <c r="F54" s="13"/>
      <c r="G54" s="13"/>
      <c r="H54" s="13"/>
      <c r="I54" s="13"/>
      <c r="J54" s="13"/>
      <c r="K54" s="8"/>
    </row>
    <row r="55" spans="1:11" ht="10.5" customHeight="1">
      <c r="A55" s="16"/>
      <c r="B55" s="17" t="s">
        <v>471</v>
      </c>
      <c r="C55" s="17"/>
      <c r="D55" s="17"/>
      <c r="E55" s="17"/>
      <c r="F55" s="17"/>
      <c r="G55" s="17"/>
      <c r="H55" s="17"/>
      <c r="I55" s="17"/>
      <c r="J55" s="17"/>
      <c r="K55" s="18"/>
    </row>
  </sheetData>
  <sheetProtection algorithmName="SHA-512" hashValue="YWC/2ivwJk2M5NSi0VBh11aLZXiX2c+H5aXnyG8kN/Vr8IZzFwMtMx18D2cB/WSPb/Q1zHqtk7iTQTOc74q/Hw==" saltValue="2R/IFALwrRnxUFNteyNCSw==" spinCount="100000" sheet="1" selectLockedCells="1"/>
  <mergeCells count="173">
    <mergeCell ref="F21:G21"/>
    <mergeCell ref="F7:G7"/>
    <mergeCell ref="A1:B1"/>
    <mergeCell ref="H5:J5"/>
    <mergeCell ref="B22:C22"/>
    <mergeCell ref="F15:G15"/>
    <mergeCell ref="F17:G17"/>
    <mergeCell ref="H11:J11"/>
    <mergeCell ref="H10:J10"/>
    <mergeCell ref="H9:J9"/>
    <mergeCell ref="H7:J7"/>
    <mergeCell ref="H8:J8"/>
    <mergeCell ref="H6:J6"/>
    <mergeCell ref="F4:K4"/>
    <mergeCell ref="F2:I2"/>
    <mergeCell ref="A2:D2"/>
    <mergeCell ref="A4:E4"/>
    <mergeCell ref="C12:M12"/>
    <mergeCell ref="A5:B5"/>
    <mergeCell ref="C5:D5"/>
    <mergeCell ref="F8:G8"/>
    <mergeCell ref="A14:A19"/>
    <mergeCell ref="A11:B11"/>
    <mergeCell ref="F11:G11"/>
    <mergeCell ref="F19:G19"/>
    <mergeCell ref="A7:B7"/>
    <mergeCell ref="C7:D7"/>
    <mergeCell ref="F6:G6"/>
    <mergeCell ref="F5:G5"/>
    <mergeCell ref="C6:D6"/>
    <mergeCell ref="A6:B6"/>
    <mergeCell ref="A8:B8"/>
    <mergeCell ref="C8:D8"/>
    <mergeCell ref="F10:G10"/>
    <mergeCell ref="F9:G9"/>
    <mergeCell ref="B17:C17"/>
    <mergeCell ref="F13:G13"/>
    <mergeCell ref="F16:G16"/>
    <mergeCell ref="B19:E19"/>
    <mergeCell ref="C11:D11"/>
    <mergeCell ref="F18:G18"/>
    <mergeCell ref="F14:G14"/>
    <mergeCell ref="B16:C16"/>
    <mergeCell ref="B15:C15"/>
    <mergeCell ref="B14:C14"/>
    <mergeCell ref="B18:D18"/>
    <mergeCell ref="I42:J42"/>
    <mergeCell ref="I41:J41"/>
    <mergeCell ref="I38:J38"/>
    <mergeCell ref="I36:J36"/>
    <mergeCell ref="G28:H28"/>
    <mergeCell ref="B28:D28"/>
    <mergeCell ref="G30:H30"/>
    <mergeCell ref="E38:F38"/>
    <mergeCell ref="E40:F40"/>
    <mergeCell ref="B30:D30"/>
    <mergeCell ref="B29:D29"/>
    <mergeCell ref="E29:F29"/>
    <mergeCell ref="E30:F30"/>
    <mergeCell ref="C40:D40"/>
    <mergeCell ref="G32:H32"/>
    <mergeCell ref="C38:D38"/>
    <mergeCell ref="G38:H38"/>
    <mergeCell ref="C37:D37"/>
    <mergeCell ref="E37:F37"/>
    <mergeCell ref="G37:H37"/>
    <mergeCell ref="E28:F28"/>
    <mergeCell ref="I37:J37"/>
    <mergeCell ref="A37:B38"/>
    <mergeCell ref="A39:B40"/>
    <mergeCell ref="B51:J51"/>
    <mergeCell ref="B50:J50"/>
    <mergeCell ref="I48:K48"/>
    <mergeCell ref="G43:H43"/>
    <mergeCell ref="E43:F43"/>
    <mergeCell ref="G41:H41"/>
    <mergeCell ref="C41:D41"/>
    <mergeCell ref="E41:F41"/>
    <mergeCell ref="E42:F42"/>
    <mergeCell ref="G42:H42"/>
    <mergeCell ref="I46:K46"/>
    <mergeCell ref="I47:K47"/>
    <mergeCell ref="A46:F48"/>
    <mergeCell ref="A43:B43"/>
    <mergeCell ref="A42:B42"/>
    <mergeCell ref="C42:D42"/>
    <mergeCell ref="C43:D43"/>
    <mergeCell ref="I45:K45"/>
    <mergeCell ref="G45:H45"/>
    <mergeCell ref="A41:B41"/>
    <mergeCell ref="K43:L43"/>
    <mergeCell ref="K42:L42"/>
    <mergeCell ref="K41:L41"/>
    <mergeCell ref="I43:J43"/>
    <mergeCell ref="A21:A25"/>
    <mergeCell ref="B23:C23"/>
    <mergeCell ref="F23:G23"/>
    <mergeCell ref="K40:L40"/>
    <mergeCell ref="K38:L38"/>
    <mergeCell ref="K36:L36"/>
    <mergeCell ref="I27:J27"/>
    <mergeCell ref="I28:J28"/>
    <mergeCell ref="I29:J29"/>
    <mergeCell ref="I30:J30"/>
    <mergeCell ref="I32:J32"/>
    <mergeCell ref="K27:L27"/>
    <mergeCell ref="K32:L32"/>
    <mergeCell ref="K30:L30"/>
    <mergeCell ref="K29:L29"/>
    <mergeCell ref="K28:L28"/>
    <mergeCell ref="A26:L26"/>
    <mergeCell ref="A27:D27"/>
    <mergeCell ref="E27:F27"/>
    <mergeCell ref="E39:F39"/>
    <mergeCell ref="C39:D39"/>
    <mergeCell ref="B33:C33"/>
    <mergeCell ref="E33:F33"/>
    <mergeCell ref="F25:G25"/>
    <mergeCell ref="B21:C21"/>
    <mergeCell ref="G27:H27"/>
    <mergeCell ref="E32:F32"/>
    <mergeCell ref="G36:H36"/>
    <mergeCell ref="B32:D32"/>
    <mergeCell ref="C36:D36"/>
    <mergeCell ref="E36:F36"/>
    <mergeCell ref="K31:L31"/>
    <mergeCell ref="G29:H29"/>
    <mergeCell ref="B31:D31"/>
    <mergeCell ref="E31:F31"/>
    <mergeCell ref="G31:H31"/>
    <mergeCell ref="I31:J31"/>
    <mergeCell ref="H25:I25"/>
    <mergeCell ref="H24:I24"/>
    <mergeCell ref="H23:I23"/>
    <mergeCell ref="H22:I22"/>
    <mergeCell ref="H21:I21"/>
    <mergeCell ref="J25:K25"/>
    <mergeCell ref="J24:K24"/>
    <mergeCell ref="B25:E25"/>
    <mergeCell ref="F22:G22"/>
    <mergeCell ref="B24:D24"/>
    <mergeCell ref="F24:G24"/>
    <mergeCell ref="H1:M1"/>
    <mergeCell ref="H13:I13"/>
    <mergeCell ref="H19:I19"/>
    <mergeCell ref="H18:I18"/>
    <mergeCell ref="H17:I17"/>
    <mergeCell ref="H16:I16"/>
    <mergeCell ref="H15:I15"/>
    <mergeCell ref="H14:I14"/>
    <mergeCell ref="J13:K13"/>
    <mergeCell ref="J14:K14"/>
    <mergeCell ref="J15:K15"/>
    <mergeCell ref="J16:K16"/>
    <mergeCell ref="J17:K17"/>
    <mergeCell ref="J18:K18"/>
    <mergeCell ref="J19:K19"/>
    <mergeCell ref="L13:M13"/>
    <mergeCell ref="L14:M14"/>
    <mergeCell ref="L19:M19"/>
    <mergeCell ref="L18:M18"/>
    <mergeCell ref="L17:M17"/>
    <mergeCell ref="L16:M16"/>
    <mergeCell ref="L15:M15"/>
    <mergeCell ref="J23:K23"/>
    <mergeCell ref="J22:K22"/>
    <mergeCell ref="J21:K21"/>
    <mergeCell ref="L25:M25"/>
    <mergeCell ref="L24:M24"/>
    <mergeCell ref="L23:M23"/>
    <mergeCell ref="L22:M22"/>
    <mergeCell ref="L21:M21"/>
    <mergeCell ref="K2:M2"/>
  </mergeCells>
  <phoneticPr fontId="8"/>
  <conditionalFormatting sqref="H19">
    <cfRule type="expression" dxfId="65" priority="3" stopIfTrue="1">
      <formula>#REF!=TRUE</formula>
    </cfRule>
  </conditionalFormatting>
  <conditionalFormatting sqref="H25">
    <cfRule type="expression" dxfId="64" priority="2" stopIfTrue="1">
      <formula>#REF!=TRUE</formula>
    </cfRule>
  </conditionalFormatting>
  <conditionalFormatting sqref="J14 L14 H14:H17 H21:H23">
    <cfRule type="expression" dxfId="63" priority="7" stopIfTrue="1">
      <formula>#REF!=TRUE</formula>
    </cfRule>
  </conditionalFormatting>
  <printOptions horizontalCentered="1" verticalCentered="1"/>
  <pageMargins left="0.19685039370078741" right="0.19685039370078741" top="0.39370078740157483" bottom="0.39370078740157483" header="0.27559055118110237" footer="0.19685039370078741"/>
  <pageSetup paperSize="9" scale="86"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2FE6EEDF-E0A6-4D61-BBD9-F3DA7185D416}">
            <xm:f>計算シート!$H$21&gt;1</xm:f>
            <x14:dxf>
              <font>
                <color theme="0"/>
              </font>
              <fill>
                <patternFill>
                  <bgColor rgb="FF96460A"/>
                </patternFill>
              </fill>
            </x14:dxf>
          </x14:cfRule>
          <xm:sqref>A4:K4 A13:H13 J13 L13 A27:L27 A36:L36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X37"/>
  <sheetViews>
    <sheetView zoomScale="85" zoomScaleNormal="85" workbookViewId="0">
      <selection activeCell="E25" sqref="E25"/>
    </sheetView>
  </sheetViews>
  <sheetFormatPr defaultColWidth="9" defaultRowHeight="18" customHeight="1"/>
  <cols>
    <col min="1" max="1" width="2.375" style="148" customWidth="1"/>
    <col min="2" max="2" width="2.875" style="148" bestFit="1" customWidth="1"/>
    <col min="3" max="3" width="11.875" style="148" customWidth="1"/>
    <col min="4" max="4" width="11.875" style="149" customWidth="1"/>
    <col min="5" max="6" width="11.875" style="148" customWidth="1"/>
    <col min="7" max="7" width="9.875" style="148" bestFit="1" customWidth="1"/>
    <col min="8" max="8" width="38.375" style="148" bestFit="1" customWidth="1"/>
    <col min="9" max="9" width="12.125" style="148" bestFit="1" customWidth="1"/>
    <col min="10" max="10" width="5.25" style="148" customWidth="1"/>
    <col min="11" max="11" width="11" style="148" bestFit="1" customWidth="1"/>
    <col min="12" max="12" width="5.25" style="148" bestFit="1" customWidth="1"/>
    <col min="13" max="13" width="6.875" style="148" customWidth="1"/>
    <col min="14" max="14" width="5.25" style="148" bestFit="1" customWidth="1"/>
    <col min="15" max="25" width="10.125" style="148" customWidth="1"/>
    <col min="26" max="26" width="14.375" style="148" customWidth="1"/>
    <col min="27" max="16384" width="9" style="148"/>
  </cols>
  <sheetData>
    <row r="1" spans="1:24" ht="18" customHeight="1">
      <c r="C1" s="1399">
        <f>入力シート!G8</f>
        <v>0</v>
      </c>
      <c r="D1" s="1400"/>
      <c r="E1" s="462" t="s">
        <v>472</v>
      </c>
      <c r="K1" s="1390">
        <f ca="1">NOW()</f>
        <v>45772.831762731483</v>
      </c>
      <c r="L1" s="1390"/>
      <c r="M1" s="1390"/>
      <c r="N1" s="1390"/>
    </row>
    <row r="2" spans="1:24" ht="18" customHeight="1">
      <c r="B2" s="1423" t="s">
        <v>473</v>
      </c>
      <c r="C2" s="175"/>
      <c r="E2" s="176"/>
      <c r="F2" s="150"/>
      <c r="H2" s="547" t="s">
        <v>474</v>
      </c>
      <c r="I2" s="463">
        <f>E32</f>
        <v>0</v>
      </c>
      <c r="J2" s="1393" t="s">
        <v>475</v>
      </c>
      <c r="K2" s="1394"/>
    </row>
    <row r="3" spans="1:24" ht="18" customHeight="1">
      <c r="B3" s="1424"/>
      <c r="C3" s="548"/>
      <c r="D3" s="465"/>
      <c r="E3" s="466"/>
      <c r="F3" s="467"/>
      <c r="G3" s="150"/>
      <c r="H3" s="549" t="s">
        <v>476</v>
      </c>
      <c r="I3" s="178">
        <f>S28</f>
        <v>0</v>
      </c>
      <c r="J3" s="1395" t="s">
        <v>477</v>
      </c>
      <c r="K3" s="1395"/>
      <c r="L3" s="150"/>
      <c r="Q3" s="154" t="b">
        <v>0</v>
      </c>
      <c r="R3" s="152" t="s">
        <v>478</v>
      </c>
      <c r="S3" s="153" t="s">
        <v>479</v>
      </c>
      <c r="T3" s="153">
        <f>U3*10</f>
        <v>10</v>
      </c>
      <c r="U3" s="155">
        <v>1</v>
      </c>
      <c r="V3" s="153" t="s">
        <v>480</v>
      </c>
      <c r="W3" s="153"/>
    </row>
    <row r="4" spans="1:24" ht="18" customHeight="1">
      <c r="E4" s="1391" t="str">
        <f>IF(OR(T4=21,T4=22),"物件を正しく組み合わせてください。","")</f>
        <v/>
      </c>
      <c r="F4" s="1391"/>
      <c r="G4" s="150"/>
      <c r="H4" s="550" t="s">
        <v>481</v>
      </c>
      <c r="I4" s="180">
        <f>U28</f>
        <v>0</v>
      </c>
      <c r="J4" s="1396" t="s">
        <v>477</v>
      </c>
      <c r="K4" s="1396"/>
      <c r="L4" s="150"/>
      <c r="Q4" s="152">
        <f>IF(Q3=TRUE,3-Q5,Q5)</f>
        <v>1</v>
      </c>
      <c r="R4" s="551" t="s">
        <v>482</v>
      </c>
      <c r="S4" s="153" t="s">
        <v>483</v>
      </c>
      <c r="T4" s="153">
        <f>T3+U4</f>
        <v>11</v>
      </c>
      <c r="U4" s="155">
        <v>1</v>
      </c>
      <c r="V4" s="153" t="s">
        <v>484</v>
      </c>
      <c r="W4" s="153"/>
    </row>
    <row r="5" spans="1:24" ht="18" customHeight="1">
      <c r="C5" s="1404" t="str">
        <f>入力シート!B27</f>
        <v>買取型</v>
      </c>
      <c r="D5" s="1404"/>
      <c r="E5" s="551" t="s">
        <v>485</v>
      </c>
      <c r="F5" s="281" t="s">
        <v>486</v>
      </c>
      <c r="H5" s="552" t="s">
        <v>487</v>
      </c>
      <c r="I5" s="179">
        <f>W28</f>
        <v>0</v>
      </c>
      <c r="J5" s="1408" t="s">
        <v>477</v>
      </c>
      <c r="K5" s="1408"/>
      <c r="Q5" s="154">
        <v>1</v>
      </c>
      <c r="R5" s="152" t="s">
        <v>488</v>
      </c>
      <c r="U5" s="154">
        <v>1</v>
      </c>
      <c r="V5" s="551" t="s">
        <v>489</v>
      </c>
    </row>
    <row r="6" spans="1:24" ht="18" customHeight="1">
      <c r="H6" s="553" t="s">
        <v>490</v>
      </c>
      <c r="I6" s="177">
        <f>I2-I3-I4-I5</f>
        <v>0</v>
      </c>
      <c r="J6" s="1406" t="s">
        <v>491</v>
      </c>
      <c r="K6" s="1407"/>
      <c r="O6" s="189" t="s">
        <v>367</v>
      </c>
      <c r="Q6" s="148" t="s">
        <v>492</v>
      </c>
      <c r="R6" s="148" t="s">
        <v>493</v>
      </c>
      <c r="S6" s="148" t="s">
        <v>494</v>
      </c>
      <c r="T6" s="148" t="s">
        <v>495</v>
      </c>
      <c r="V6" s="148" t="s">
        <v>496</v>
      </c>
      <c r="X6" s="148" t="s">
        <v>497</v>
      </c>
    </row>
    <row r="7" spans="1:24" ht="18" customHeight="1">
      <c r="A7" s="1425" t="s">
        <v>498</v>
      </c>
      <c r="B7" s="1427" t="s">
        <v>473</v>
      </c>
      <c r="C7" s="1430" t="s">
        <v>499</v>
      </c>
      <c r="D7" s="1431"/>
      <c r="E7" s="555"/>
      <c r="F7" s="464"/>
      <c r="H7" s="187" t="s">
        <v>500</v>
      </c>
      <c r="K7" s="551"/>
      <c r="O7" s="556">
        <v>2599</v>
      </c>
      <c r="Q7" s="148">
        <v>1</v>
      </c>
      <c r="S7" s="148">
        <f>E7*Q7</f>
        <v>0</v>
      </c>
      <c r="T7" s="148">
        <v>1</v>
      </c>
      <c r="U7" s="149">
        <f t="shared" ref="U7:U14" si="0">(E7-S7)*T7</f>
        <v>0</v>
      </c>
      <c r="V7" s="148">
        <v>0</v>
      </c>
      <c r="W7" s="149">
        <f>(E7-S7-U7)*V7</f>
        <v>0</v>
      </c>
      <c r="X7" s="149">
        <f t="shared" ref="X7:X17" si="1">E7-S7-U7-W7</f>
        <v>0</v>
      </c>
    </row>
    <row r="8" spans="1:24" ht="18" customHeight="1">
      <c r="A8" s="1425"/>
      <c r="B8" s="1428"/>
      <c r="C8" s="1388" t="s">
        <v>501</v>
      </c>
      <c r="D8" s="1389"/>
      <c r="E8" s="557"/>
      <c r="F8" s="191" t="s">
        <v>502</v>
      </c>
      <c r="G8" s="181">
        <f>ROUNDDOWN((E7+E8)/10000,0)</f>
        <v>0</v>
      </c>
      <c r="H8" s="190" t="s">
        <v>14</v>
      </c>
      <c r="O8" s="262" t="s">
        <v>503</v>
      </c>
      <c r="Q8" s="148">
        <f>IF(OR(U4=2,U4=3),1,0)</f>
        <v>0</v>
      </c>
      <c r="S8" s="148">
        <f>E8*Q8</f>
        <v>0</v>
      </c>
      <c r="T8" s="148">
        <f>IF(OR(U4=2,U4=3),1,0)</f>
        <v>0</v>
      </c>
      <c r="U8" s="149">
        <f t="shared" si="0"/>
        <v>0</v>
      </c>
      <c r="V8" s="148">
        <v>0</v>
      </c>
      <c r="W8" s="149">
        <f>(E8-S8-U8)*V8</f>
        <v>0</v>
      </c>
      <c r="X8" s="149">
        <f t="shared" si="1"/>
        <v>0</v>
      </c>
    </row>
    <row r="9" spans="1:24" ht="18" customHeight="1">
      <c r="A9" s="1425"/>
      <c r="B9" s="1429"/>
      <c r="C9" s="1432" t="s">
        <v>504</v>
      </c>
      <c r="D9" s="1433"/>
      <c r="E9" s="557"/>
      <c r="F9" s="468" t="s">
        <v>505</v>
      </c>
      <c r="G9" s="551"/>
      <c r="O9" s="149">
        <f>IF(O7&lt;=200,O7*500,IF(O7&gt;400,(O7*300+60000),(O7*400+20000)))*1.1</f>
        <v>923670.00000000012</v>
      </c>
      <c r="Q9" s="148">
        <f>IF(T4&gt;=13,1,0)</f>
        <v>0</v>
      </c>
      <c r="R9" s="154" t="b">
        <v>1</v>
      </c>
      <c r="S9" s="148">
        <f>IF(R9=FALSE,0,E9)</f>
        <v>0</v>
      </c>
      <c r="T9" s="148">
        <f>IF(T4&gt;=22,1,0)</f>
        <v>0</v>
      </c>
      <c r="U9" s="149">
        <f t="shared" si="0"/>
        <v>0</v>
      </c>
      <c r="V9" s="148">
        <f>IF(OR(T4=13,T4=14),1,0)</f>
        <v>0</v>
      </c>
      <c r="W9" s="149">
        <f>(E9-S9-U9)*V9</f>
        <v>0</v>
      </c>
      <c r="X9" s="149">
        <f t="shared" si="1"/>
        <v>0</v>
      </c>
    </row>
    <row r="10" spans="1:24" ht="18" customHeight="1">
      <c r="A10" s="1426"/>
      <c r="B10" s="1434" t="s">
        <v>506</v>
      </c>
      <c r="C10" s="1388" t="s">
        <v>507</v>
      </c>
      <c r="D10" s="1389"/>
      <c r="E10" s="557"/>
      <c r="F10" s="149">
        <f>IF(K22*計算シート!H7*10000&lt;=計算シート!H13,計算シート!H13,K22*計算シート!H7*10000)</f>
        <v>220000.00000000003</v>
      </c>
      <c r="G10" s="1422" t="str">
        <f>IF(F10=計算シート!H13,"←　フラットの最低手数料です","←　フラット借入額　"&amp;K22&amp;"万円　に対する手数料　"&amp;E10/(K22*100)&amp;"%　です")</f>
        <v>←　フラットの最低手数料です</v>
      </c>
      <c r="H10" s="1422"/>
      <c r="I10" s="1422"/>
      <c r="L10" s="551"/>
      <c r="O10" s="263" t="s">
        <v>61</v>
      </c>
      <c r="Q10" s="148">
        <v>1</v>
      </c>
      <c r="S10" s="148">
        <f t="shared" ref="S10:S21" si="2">E10*Q10</f>
        <v>0</v>
      </c>
      <c r="T10" s="148">
        <v>1</v>
      </c>
      <c r="U10" s="149">
        <f t="shared" si="0"/>
        <v>0</v>
      </c>
      <c r="W10" s="149">
        <f>(E10-S10-U10)*V10</f>
        <v>0</v>
      </c>
      <c r="X10" s="149">
        <f t="shared" si="1"/>
        <v>0</v>
      </c>
    </row>
    <row r="11" spans="1:24" ht="18" customHeight="1">
      <c r="A11" s="1426"/>
      <c r="B11" s="1435"/>
      <c r="C11" s="1388" t="s">
        <v>395</v>
      </c>
      <c r="D11" s="1401"/>
      <c r="E11" s="557"/>
      <c r="F11" s="149">
        <f>IF(K24=0,0,IF(K24*10000*計算シート!C187&lt;=計算シート!C190,計算シート!C190,K24*10000*計算シート!C187))</f>
        <v>0</v>
      </c>
      <c r="G11" s="558" t="str">
        <f>IF(F11=0,"←　ベストミックスの利用なし",IF(F11=計算シート!C190,"←　ベストミックスの最低手数料です","←　ベストミックス　"&amp;K24&amp;"万円　に対する手数料　"&amp;E11/(K24*100)&amp;"%　です"))</f>
        <v>←　ベストミックスの利用なし</v>
      </c>
      <c r="H11" s="217"/>
      <c r="I11" s="217"/>
      <c r="K11" s="1420" t="s">
        <v>508</v>
      </c>
      <c r="L11" s="1421"/>
      <c r="Q11" s="148">
        <f>IF(OR(Q4=2,U5=2),0,1)</f>
        <v>1</v>
      </c>
      <c r="S11" s="148">
        <f t="shared" si="2"/>
        <v>0</v>
      </c>
      <c r="T11" s="148">
        <v>0</v>
      </c>
      <c r="U11" s="149">
        <f t="shared" si="0"/>
        <v>0</v>
      </c>
      <c r="V11" s="148">
        <v>0</v>
      </c>
      <c r="W11" s="149"/>
      <c r="X11" s="149">
        <f t="shared" si="1"/>
        <v>0</v>
      </c>
    </row>
    <row r="12" spans="1:24" ht="18" customHeight="1">
      <c r="A12" s="1426"/>
      <c r="B12" s="1435"/>
      <c r="C12" s="1388" t="s">
        <v>509</v>
      </c>
      <c r="D12" s="1389"/>
      <c r="E12" s="557"/>
      <c r="G12" s="1386" t="s">
        <v>510</v>
      </c>
      <c r="H12" s="1387"/>
      <c r="I12" s="186"/>
      <c r="K12" s="559"/>
      <c r="L12" s="560" t="s">
        <v>14</v>
      </c>
      <c r="Q12" s="148">
        <f>IF(U4=1,0,1)</f>
        <v>0</v>
      </c>
      <c r="S12" s="148">
        <f t="shared" si="2"/>
        <v>0</v>
      </c>
      <c r="T12" s="148">
        <v>1</v>
      </c>
      <c r="U12" s="149">
        <f t="shared" si="0"/>
        <v>0</v>
      </c>
      <c r="W12" s="149">
        <f>(E12-S12-U12)*V12</f>
        <v>0</v>
      </c>
      <c r="X12" s="149">
        <f t="shared" si="1"/>
        <v>0</v>
      </c>
    </row>
    <row r="13" spans="1:24" ht="18" customHeight="1">
      <c r="A13" s="1426"/>
      <c r="B13" s="1435"/>
      <c r="C13" s="1388" t="s">
        <v>511</v>
      </c>
      <c r="D13" s="1389"/>
      <c r="E13" s="557"/>
      <c r="L13" s="183" t="str">
        <f>IF(OR(K12*10000&gt;=K32,K12=""),"","増額が必要です")</f>
        <v/>
      </c>
      <c r="Q13" s="148">
        <f>IF(OR(T4&lt;=12,AND(R9=TRUE,S9&gt;0)),1,0)</f>
        <v>1</v>
      </c>
      <c r="S13" s="148">
        <f t="shared" si="2"/>
        <v>0</v>
      </c>
      <c r="T13" s="148">
        <f>IF(U9&gt;=1,1,0)</f>
        <v>0</v>
      </c>
      <c r="U13" s="149">
        <f t="shared" si="0"/>
        <v>0</v>
      </c>
      <c r="V13" s="148">
        <f>IF(E9=0,0,1)</f>
        <v>0</v>
      </c>
      <c r="W13" s="149">
        <f>(E13-S13-U13)*V13</f>
        <v>0</v>
      </c>
      <c r="X13" s="149">
        <f t="shared" si="1"/>
        <v>0</v>
      </c>
    </row>
    <row r="14" spans="1:24" ht="18" customHeight="1">
      <c r="A14" s="1426"/>
      <c r="B14" s="1435"/>
      <c r="C14" s="1388" t="s">
        <v>512</v>
      </c>
      <c r="D14" s="1389"/>
      <c r="E14" s="557"/>
      <c r="H14" s="148" t="s">
        <v>513</v>
      </c>
      <c r="Q14" s="148">
        <f>IF(U4&gt;=2,1,0)</f>
        <v>0</v>
      </c>
      <c r="S14" s="148">
        <f t="shared" si="2"/>
        <v>0</v>
      </c>
      <c r="T14" s="148">
        <f>IF(U4=1,0,1)</f>
        <v>0</v>
      </c>
      <c r="U14" s="149">
        <f t="shared" si="0"/>
        <v>0</v>
      </c>
      <c r="V14" s="148">
        <f>IF(U4=1,0,1)</f>
        <v>0</v>
      </c>
      <c r="W14" s="149">
        <f>(E14-S14-U14)*V14</f>
        <v>0</v>
      </c>
      <c r="X14" s="149">
        <f t="shared" si="1"/>
        <v>0</v>
      </c>
    </row>
    <row r="15" spans="1:24" ht="18" customHeight="1">
      <c r="A15" s="1426"/>
      <c r="B15" s="1435"/>
      <c r="C15" s="1388" t="s">
        <v>514</v>
      </c>
      <c r="D15" s="1389"/>
      <c r="E15" s="557"/>
      <c r="H15" s="151" t="s">
        <v>515</v>
      </c>
      <c r="I15" s="156">
        <f>ROUNDDOWN((I3-I16*10000)/10000,0)</f>
        <v>0</v>
      </c>
      <c r="J15" s="151" t="s">
        <v>516</v>
      </c>
      <c r="K15" s="149" t="str">
        <f>IF(Q3=TRUE,"計算結果が異なります","")</f>
        <v/>
      </c>
      <c r="Q15" s="148">
        <v>1</v>
      </c>
      <c r="S15" s="148">
        <f t="shared" si="2"/>
        <v>0</v>
      </c>
      <c r="T15" s="148">
        <v>1</v>
      </c>
      <c r="U15" s="149">
        <f>E15-S15</f>
        <v>0</v>
      </c>
      <c r="W15" s="149">
        <f>E15-S15-U15</f>
        <v>0</v>
      </c>
      <c r="X15" s="149">
        <f t="shared" si="1"/>
        <v>0</v>
      </c>
    </row>
    <row r="16" spans="1:24" ht="18" customHeight="1">
      <c r="A16" s="1426"/>
      <c r="B16" s="1435"/>
      <c r="C16" s="1418" t="s">
        <v>517</v>
      </c>
      <c r="D16" s="1419"/>
      <c r="E16" s="557"/>
      <c r="H16" s="151" t="s">
        <v>518</v>
      </c>
      <c r="I16" s="156">
        <f>ROUNDDOWN(E8/10000,0)</f>
        <v>0</v>
      </c>
      <c r="J16" s="151" t="s">
        <v>516</v>
      </c>
      <c r="K16" s="194" t="str">
        <f>IF(Q3=TRUE,"入力シート","")</f>
        <v/>
      </c>
      <c r="L16" s="148" t="str">
        <f>IF(Q3=TRUE,"の","")</f>
        <v/>
      </c>
      <c r="Q16" s="148">
        <v>0</v>
      </c>
      <c r="S16" s="148">
        <f t="shared" si="2"/>
        <v>0</v>
      </c>
      <c r="T16" s="148">
        <v>1</v>
      </c>
      <c r="U16" s="149">
        <f>E16-S16</f>
        <v>0</v>
      </c>
      <c r="W16" s="149">
        <f>E16-S16-U16</f>
        <v>0</v>
      </c>
      <c r="X16" s="149">
        <f t="shared" si="1"/>
        <v>0</v>
      </c>
    </row>
    <row r="17" spans="1:24" ht="18" customHeight="1" thickBot="1">
      <c r="A17" s="1426"/>
      <c r="B17" s="1435"/>
      <c r="C17" s="1388" t="s">
        <v>519</v>
      </c>
      <c r="D17" s="1389"/>
      <c r="E17" s="557"/>
      <c r="F17" s="189" t="s">
        <v>520</v>
      </c>
      <c r="G17" s="184"/>
      <c r="H17" s="561" t="s">
        <v>521</v>
      </c>
      <c r="I17" s="218">
        <f>I15+I16</f>
        <v>0</v>
      </c>
      <c r="J17" s="219" t="s">
        <v>516</v>
      </c>
      <c r="K17" s="148" t="str">
        <f>IF(Q3=TRUE,"チェックを外してください","")</f>
        <v/>
      </c>
      <c r="Q17" s="148">
        <f>IF(R17=TRUE,1,0)</f>
        <v>1</v>
      </c>
      <c r="R17" s="222" t="b">
        <v>1</v>
      </c>
      <c r="S17" s="148">
        <f t="shared" si="2"/>
        <v>0</v>
      </c>
      <c r="T17" s="148">
        <v>1</v>
      </c>
      <c r="U17" s="149">
        <f>E17-S17</f>
        <v>0</v>
      </c>
      <c r="W17" s="149">
        <f>E17-S17-U17</f>
        <v>0</v>
      </c>
      <c r="X17" s="149">
        <f t="shared" si="1"/>
        <v>0</v>
      </c>
    </row>
    <row r="18" spans="1:24" ht="18" customHeight="1">
      <c r="A18" s="1426"/>
      <c r="B18" s="1435"/>
      <c r="C18" s="1388" t="s">
        <v>522</v>
      </c>
      <c r="D18" s="1389"/>
      <c r="E18" s="557"/>
      <c r="F18" s="189" t="s">
        <v>523</v>
      </c>
      <c r="G18" s="184"/>
      <c r="H18" s="554"/>
      <c r="I18" s="220"/>
      <c r="J18" s="221"/>
      <c r="K18" s="1409" t="s">
        <v>524</v>
      </c>
      <c r="L18" s="1410"/>
      <c r="Q18" s="148">
        <f t="shared" ref="Q18:Q25" si="3">IF(R18=TRUE,1,0)</f>
        <v>1</v>
      </c>
      <c r="R18" s="154" t="b">
        <v>1</v>
      </c>
      <c r="S18" s="148">
        <f t="shared" si="2"/>
        <v>0</v>
      </c>
      <c r="T18" s="148">
        <v>1</v>
      </c>
      <c r="U18" s="149">
        <f>E18-S18</f>
        <v>0</v>
      </c>
      <c r="W18" s="149"/>
      <c r="X18" s="149"/>
    </row>
    <row r="19" spans="1:24" ht="18" customHeight="1">
      <c r="A19" s="1426"/>
      <c r="B19" s="1435"/>
      <c r="C19" s="1418" t="s">
        <v>525</v>
      </c>
      <c r="D19" s="1419"/>
      <c r="E19" s="557"/>
      <c r="G19" s="184"/>
      <c r="H19" s="547" t="s">
        <v>526</v>
      </c>
      <c r="I19" s="469"/>
      <c r="J19" s="464"/>
      <c r="K19" s="562" t="s">
        <v>527</v>
      </c>
      <c r="L19" s="195"/>
      <c r="M19" s="1405" t="s">
        <v>58</v>
      </c>
      <c r="N19" s="1405"/>
      <c r="Q19" s="148">
        <f t="shared" si="3"/>
        <v>0</v>
      </c>
      <c r="R19" s="154"/>
      <c r="S19" s="148">
        <f t="shared" si="2"/>
        <v>0</v>
      </c>
      <c r="T19" s="148">
        <f>IF(U4=4,1,0)</f>
        <v>0</v>
      </c>
      <c r="U19" s="149">
        <f>(E19-S19)*T19</f>
        <v>0</v>
      </c>
      <c r="V19" s="148">
        <f>IF(U4=4,1,0)</f>
        <v>0</v>
      </c>
      <c r="W19" s="149">
        <f>(E19-S19-U19)*V19</f>
        <v>0</v>
      </c>
      <c r="X19" s="149">
        <f>E19-S19-U19-W19</f>
        <v>0</v>
      </c>
    </row>
    <row r="20" spans="1:24" ht="18" customHeight="1">
      <c r="A20" s="1426"/>
      <c r="B20" s="1435"/>
      <c r="C20" s="1388" t="s">
        <v>528</v>
      </c>
      <c r="D20" s="1389"/>
      <c r="E20" s="557"/>
      <c r="F20" s="189" t="s">
        <v>523</v>
      </c>
      <c r="H20" s="158" t="s">
        <v>529</v>
      </c>
      <c r="I20" s="159">
        <f>I22-I21</f>
        <v>0</v>
      </c>
      <c r="J20" s="167" t="s">
        <v>530</v>
      </c>
      <c r="K20" s="196">
        <f>IF(M20="",IF(I20-$P$22&lt;=0,1,I20-P22),IF(M20=0,1,M20))</f>
        <v>1</v>
      </c>
      <c r="L20" s="563" t="s">
        <v>14</v>
      </c>
      <c r="M20" s="470"/>
      <c r="N20" s="564" t="s">
        <v>14</v>
      </c>
      <c r="P20" s="216">
        <f>IF(P22-I20&lt;=0,0,P22-I20+K20)</f>
        <v>0</v>
      </c>
      <c r="Q20" s="148">
        <f t="shared" si="3"/>
        <v>1</v>
      </c>
      <c r="R20" s="154" t="b">
        <v>1</v>
      </c>
      <c r="S20" s="148">
        <f t="shared" si="2"/>
        <v>0</v>
      </c>
      <c r="T20" s="148">
        <f>IF(OR(OR($T$4=11,$T$4=13,$T$4=14),AND($U$3=2,$S$9=0)),0,1)</f>
        <v>0</v>
      </c>
      <c r="U20" s="149">
        <f>(E20-S20)*T20</f>
        <v>0</v>
      </c>
      <c r="V20" s="148">
        <v>0</v>
      </c>
      <c r="W20" s="149">
        <f>(E20-S20-U20)*V20</f>
        <v>0</v>
      </c>
      <c r="X20" s="149">
        <f>E20-S20-U20-W20</f>
        <v>0</v>
      </c>
    </row>
    <row r="21" spans="1:24" ht="18" customHeight="1">
      <c r="A21" s="1426"/>
      <c r="B21" s="1435"/>
      <c r="C21" s="1388" t="s">
        <v>531</v>
      </c>
      <c r="D21" s="1389"/>
      <c r="E21" s="557"/>
      <c r="F21" s="189" t="s">
        <v>532</v>
      </c>
      <c r="H21" s="160" t="s">
        <v>533</v>
      </c>
      <c r="I21" s="161">
        <f>I16</f>
        <v>0</v>
      </c>
      <c r="J21" s="168" t="s">
        <v>530</v>
      </c>
      <c r="K21" s="197">
        <f>IF(M21="",IF(I21-$P$20&lt;=0,0,I21-P20),M21)</f>
        <v>0</v>
      </c>
      <c r="L21" s="565" t="s">
        <v>14</v>
      </c>
      <c r="M21" s="471"/>
      <c r="N21" s="566" t="s">
        <v>14</v>
      </c>
      <c r="P21" s="216">
        <f>IF(P28-I24&lt;=0,0,P28-I24)</f>
        <v>0</v>
      </c>
      <c r="Q21" s="148">
        <f t="shared" si="3"/>
        <v>1</v>
      </c>
      <c r="R21" s="154" t="b">
        <v>1</v>
      </c>
      <c r="S21" s="148">
        <f t="shared" si="2"/>
        <v>0</v>
      </c>
      <c r="T21" s="148">
        <v>1</v>
      </c>
      <c r="U21" s="149">
        <f>(E21-S21)*T21</f>
        <v>0</v>
      </c>
      <c r="W21" s="149">
        <f>E21-S21-U21</f>
        <v>0</v>
      </c>
      <c r="X21" s="149">
        <f>E21-S21-U21-W21</f>
        <v>0</v>
      </c>
    </row>
    <row r="22" spans="1:24" ht="18" customHeight="1">
      <c r="A22" s="1426"/>
      <c r="B22" s="1435"/>
      <c r="C22" s="1388" t="s">
        <v>534</v>
      </c>
      <c r="D22" s="1389"/>
      <c r="E22" s="567" t="str">
        <f>入力シート!G144</f>
        <v/>
      </c>
      <c r="F22" s="189" t="s">
        <v>532</v>
      </c>
      <c r="H22" s="568" t="s">
        <v>535</v>
      </c>
      <c r="I22" s="162">
        <f>IF(計算シート!H21=2,IF(ROUNDDOWN(I17*0.8,0)&gt;=8000,8000,ROUNDDOWN(I17*0.8,0)),IF(IF(U5=1,ROUNDDOWN(I17*0.9,0),I17)&gt;=8000,8000,IF(U5=1,ROUNDDOWN(I17*0.9,0),I17)))</f>
        <v>0</v>
      </c>
      <c r="J22" s="169" t="s">
        <v>530</v>
      </c>
      <c r="K22" s="198">
        <f>K20+K21</f>
        <v>1</v>
      </c>
      <c r="L22" s="569" t="s">
        <v>14</v>
      </c>
      <c r="M22" s="149"/>
      <c r="N22" s="149"/>
      <c r="P22" s="184">
        <f>IF(Q4=1,P21,P27)</f>
        <v>0</v>
      </c>
      <c r="Q22" s="148">
        <f t="shared" si="3"/>
        <v>1</v>
      </c>
      <c r="R22" s="154" t="b">
        <v>1</v>
      </c>
      <c r="S22" s="148">
        <f>IF(E22="",0,E22)*Q22</f>
        <v>0</v>
      </c>
      <c r="T22" s="148">
        <f>IF(OR(T4&lt;=12,OR(AND(T4=23,S9&gt;0),AND(T4=24,S9&gt;0))),1,0)</f>
        <v>1</v>
      </c>
      <c r="U22" s="149">
        <f>(IF(E22="",0,E22)-S22)*T22</f>
        <v>0</v>
      </c>
      <c r="W22" s="149">
        <v>0</v>
      </c>
      <c r="X22" s="149">
        <f>IF(E22="",0,E22)-S22-U22-W22</f>
        <v>0</v>
      </c>
    </row>
    <row r="23" spans="1:24" ht="18" customHeight="1">
      <c r="A23" s="1426"/>
      <c r="B23" s="1435"/>
      <c r="C23" s="1388" t="s">
        <v>536</v>
      </c>
      <c r="D23" s="1389"/>
      <c r="E23" s="570" t="str">
        <f>入力シート!E144</f>
        <v/>
      </c>
      <c r="F23" s="189" t="s">
        <v>532</v>
      </c>
      <c r="G23" s="184"/>
      <c r="H23" s="547" t="s">
        <v>537</v>
      </c>
      <c r="I23" s="464"/>
      <c r="J23" s="464"/>
      <c r="K23" s="571" t="s">
        <v>90</v>
      </c>
      <c r="L23" s="472"/>
      <c r="Q23" s="148">
        <f t="shared" si="3"/>
        <v>1</v>
      </c>
      <c r="R23" s="154" t="b">
        <v>1</v>
      </c>
      <c r="S23" s="148">
        <f>IF(E23="",0,E23)*Q23</f>
        <v>0</v>
      </c>
      <c r="T23" s="148">
        <f>IF(OR(T4&lt;=12,OR(AND(T4=23,S9&gt;0),AND(T4=24,S9&gt;0))),1,0)</f>
        <v>1</v>
      </c>
      <c r="U23" s="149">
        <f>(IF(E23="",0,E23)-S23)*T23</f>
        <v>0</v>
      </c>
      <c r="W23" s="149">
        <v>0</v>
      </c>
      <c r="X23" s="149">
        <f>IF(E23="",0,E23)-S23-U23-W23</f>
        <v>0</v>
      </c>
    </row>
    <row r="24" spans="1:24" ht="18" customHeight="1">
      <c r="A24" s="1426"/>
      <c r="B24" s="1435"/>
      <c r="C24" s="1388" t="s">
        <v>538</v>
      </c>
      <c r="D24" s="1389"/>
      <c r="E24" s="557"/>
      <c r="F24" s="189" t="s">
        <v>539</v>
      </c>
      <c r="H24" s="264" t="str">
        <f>IF(K24&lt;50,"　　　　　最低ご利用可能額は50万円です","")</f>
        <v>　　　　　最低ご利用可能額は50万円です</v>
      </c>
      <c r="I24" s="185">
        <f>IF(計算シート!H21&gt;1,0,IF(OR(Q4=2,U5=2),0,IF(I22&lt;=7200,I17-I22,IF(I22&gt;8000,0,8000-I22))))</f>
        <v>0</v>
      </c>
      <c r="J24" s="572" t="s">
        <v>14</v>
      </c>
      <c r="K24" s="199">
        <f>IF(M24="",IF(I24-$P$28&lt;=0,0,I24-P28),M24)</f>
        <v>0</v>
      </c>
      <c r="L24" s="573" t="s">
        <v>14</v>
      </c>
      <c r="M24" s="473"/>
      <c r="N24" s="574" t="s">
        <v>14</v>
      </c>
      <c r="Q24" s="148">
        <f t="shared" si="3"/>
        <v>1</v>
      </c>
      <c r="R24" s="154" t="b">
        <v>1</v>
      </c>
      <c r="S24" s="148">
        <f>E24*Q24</f>
        <v>0</v>
      </c>
      <c r="T24" s="148">
        <v>1</v>
      </c>
      <c r="U24" s="149">
        <f>E24-S24</f>
        <v>0</v>
      </c>
      <c r="W24" s="149">
        <f>E24-S24-U24</f>
        <v>0</v>
      </c>
      <c r="X24" s="149">
        <f>E24-S24-U24-W24</f>
        <v>0</v>
      </c>
    </row>
    <row r="25" spans="1:24" ht="18" customHeight="1">
      <c r="A25" s="1426"/>
      <c r="B25" s="1435"/>
      <c r="C25" s="1402" t="s">
        <v>540</v>
      </c>
      <c r="D25" s="1403"/>
      <c r="E25" s="557"/>
      <c r="G25" s="184"/>
      <c r="H25" s="575" t="s">
        <v>541</v>
      </c>
      <c r="I25" s="157"/>
      <c r="K25" s="576" t="s">
        <v>92</v>
      </c>
      <c r="L25" s="195"/>
      <c r="M25" s="149"/>
      <c r="N25" s="149"/>
      <c r="Q25" s="148">
        <f t="shared" si="3"/>
        <v>0</v>
      </c>
      <c r="S25" s="148">
        <f>E25*Q25</f>
        <v>0</v>
      </c>
      <c r="T25" s="148">
        <v>0</v>
      </c>
      <c r="U25" s="149">
        <v>0</v>
      </c>
      <c r="W25" s="149">
        <f>E25-S25-U25</f>
        <v>0</v>
      </c>
      <c r="X25" s="149">
        <f>E25-S25-U25-W25</f>
        <v>0</v>
      </c>
    </row>
    <row r="26" spans="1:24" ht="18" customHeight="1">
      <c r="A26" s="1426"/>
      <c r="B26" s="1435"/>
      <c r="C26" s="1402" t="s">
        <v>542</v>
      </c>
      <c r="D26" s="1403"/>
      <c r="E26" s="557"/>
      <c r="H26" s="577" t="s">
        <v>543</v>
      </c>
      <c r="I26" s="163">
        <f>IF(計算シート!H21&gt;1,0,IF(Q4=2,IF(I17-I22&gt;=1000,1000,I17-I22),0))</f>
        <v>0</v>
      </c>
      <c r="J26" s="170" t="s">
        <v>530</v>
      </c>
      <c r="K26" s="200">
        <f>IF(M26="",IF(I26-$P$28&lt;=0,0,I26-P28),M26)</f>
        <v>0</v>
      </c>
      <c r="L26" s="578" t="s">
        <v>14</v>
      </c>
      <c r="M26" s="470"/>
      <c r="N26" s="579" t="s">
        <v>14</v>
      </c>
      <c r="Q26" s="148">
        <v>0</v>
      </c>
      <c r="S26" s="148">
        <f>E26*Q26</f>
        <v>0</v>
      </c>
      <c r="U26" s="149">
        <v>0</v>
      </c>
      <c r="W26" s="149">
        <f>E26-S26-U26</f>
        <v>0</v>
      </c>
      <c r="X26" s="149">
        <f>E26-S26-U26-W26</f>
        <v>0</v>
      </c>
    </row>
    <row r="27" spans="1:24" ht="18" customHeight="1">
      <c r="A27" s="1426"/>
      <c r="B27" s="1435"/>
      <c r="C27" s="1402" t="s">
        <v>544</v>
      </c>
      <c r="D27" s="1403"/>
      <c r="E27" s="557"/>
      <c r="F27" s="174"/>
      <c r="H27" s="580" t="s">
        <v>545</v>
      </c>
      <c r="I27" s="164">
        <f>IF(I26=1000,0,IF(ROUNDDOWN(I4/10000,0)+I26&gt;=1000,1000-I26,ROUNDDOWN(I4/10000,0)))</f>
        <v>0</v>
      </c>
      <c r="J27" s="171" t="s">
        <v>530</v>
      </c>
      <c r="K27" s="201">
        <f>IF(M27="",IF(I27-$P$29&lt;=0,0,I27-P29),M27)</f>
        <v>0</v>
      </c>
      <c r="L27" s="581" t="s">
        <v>14</v>
      </c>
      <c r="M27" s="471"/>
      <c r="N27" s="582" t="s">
        <v>14</v>
      </c>
      <c r="P27" s="216">
        <f>IF(P28-I26&lt;=0,0,P28-I26)</f>
        <v>0</v>
      </c>
      <c r="Q27" s="148">
        <v>0</v>
      </c>
      <c r="S27" s="148">
        <f>E27*Q27</f>
        <v>0</v>
      </c>
      <c r="U27" s="149">
        <v>0</v>
      </c>
      <c r="W27" s="149">
        <f>E27-S27-U27</f>
        <v>0</v>
      </c>
      <c r="X27" s="149">
        <f>E27-S27-U27-W27</f>
        <v>0</v>
      </c>
    </row>
    <row r="28" spans="1:24" ht="18" customHeight="1">
      <c r="B28" s="1435"/>
      <c r="C28" s="1414" t="s">
        <v>546</v>
      </c>
      <c r="D28" s="1415"/>
      <c r="E28" s="557"/>
      <c r="F28" s="174"/>
      <c r="H28" s="577" t="s">
        <v>547</v>
      </c>
      <c r="I28" s="163">
        <f>I26+I27</f>
        <v>0</v>
      </c>
      <c r="J28" s="170" t="s">
        <v>530</v>
      </c>
      <c r="K28" s="200">
        <f>IF(K26+K27&lt;50,0,K26+K27)</f>
        <v>0</v>
      </c>
      <c r="L28" s="578" t="s">
        <v>14</v>
      </c>
      <c r="M28" s="583" t="str">
        <f>IF(OR(I28=0,K26+K27&gt;=50,AND(K26=0,K27=0)),"","←50万円～")</f>
        <v/>
      </c>
      <c r="N28" s="149"/>
      <c r="P28" s="216">
        <f>IF(P29-I27&lt;=0,0,P29-I27)</f>
        <v>0</v>
      </c>
      <c r="S28" s="148">
        <f>SUM(S7:S27)</f>
        <v>0</v>
      </c>
      <c r="U28" s="149">
        <f>SUM(U7:U27)</f>
        <v>0</v>
      </c>
      <c r="W28" s="149">
        <f>SUM(W7:W27)</f>
        <v>0</v>
      </c>
      <c r="X28" s="149">
        <f>SUM(X7:X25)</f>
        <v>0</v>
      </c>
    </row>
    <row r="29" spans="1:24" ht="18" customHeight="1" thickBot="1">
      <c r="B29" s="1436"/>
      <c r="C29" s="1416" t="s">
        <v>548</v>
      </c>
      <c r="D29" s="1417"/>
      <c r="E29" s="557"/>
      <c r="F29" s="462"/>
      <c r="H29" s="584" t="s">
        <v>549</v>
      </c>
      <c r="I29" s="165">
        <f>IF(ROUNDDOWN(I5/10000,0)&gt;300,300,ROUNDDOWN(I5/10000,0))</f>
        <v>0</v>
      </c>
      <c r="J29" s="172" t="s">
        <v>530</v>
      </c>
      <c r="K29" s="202">
        <f>IF(M29="",IF(I29=0,0,IF(I29-$P$32&lt;=30,0,I29-P32)),M29)</f>
        <v>0</v>
      </c>
      <c r="L29" s="585" t="s">
        <v>14</v>
      </c>
      <c r="M29" s="474"/>
      <c r="N29" s="586" t="s">
        <v>14</v>
      </c>
      <c r="P29" s="216">
        <f>IF(P32-I29&lt;=0,0,P32-I29)</f>
        <v>0</v>
      </c>
    </row>
    <row r="30" spans="1:24" ht="18" customHeight="1" thickBot="1">
      <c r="C30" s="1397" t="s">
        <v>550</v>
      </c>
      <c r="D30" s="1398"/>
      <c r="E30" s="181">
        <f>SUM(E10:E29)</f>
        <v>0</v>
      </c>
      <c r="F30" s="182" t="s">
        <v>61</v>
      </c>
      <c r="I30" s="1412" t="s">
        <v>551</v>
      </c>
      <c r="J30" s="1413"/>
      <c r="K30" s="157">
        <f>I17-K22-K26-K24</f>
        <v>-1</v>
      </c>
      <c r="L30" s="587" t="s">
        <v>14</v>
      </c>
      <c r="P30" s="184"/>
    </row>
    <row r="31" spans="1:24" ht="18" customHeight="1">
      <c r="C31" s="1392" t="s">
        <v>552</v>
      </c>
      <c r="D31" s="1392"/>
      <c r="E31" s="181">
        <f>SUM(S10:S27)</f>
        <v>0</v>
      </c>
      <c r="F31" s="182" t="s">
        <v>61</v>
      </c>
      <c r="H31" s="547" t="s">
        <v>553</v>
      </c>
      <c r="I31" s="157"/>
      <c r="K31" s="588" t="s">
        <v>81</v>
      </c>
      <c r="L31" s="475"/>
      <c r="P31" s="184"/>
    </row>
    <row r="32" spans="1:24" ht="18" customHeight="1" thickBot="1">
      <c r="C32" s="1411" t="s">
        <v>554</v>
      </c>
      <c r="D32" s="1411"/>
      <c r="E32" s="149">
        <f>SUM(E7:E29)</f>
        <v>0</v>
      </c>
      <c r="F32" s="148" t="s">
        <v>555</v>
      </c>
      <c r="H32" s="589" t="s">
        <v>556</v>
      </c>
      <c r="I32" s="166">
        <f>I2-(I22+I28+I24+I29)*10000</f>
        <v>0</v>
      </c>
      <c r="J32" s="173" t="s">
        <v>555</v>
      </c>
      <c r="K32" s="203">
        <f>I2-(K22+K24+K28+K29)*10000</f>
        <v>-10000</v>
      </c>
      <c r="L32" s="590" t="s">
        <v>61</v>
      </c>
      <c r="P32" s="216">
        <f>IF(OR(K12="",K12=0,K12-ROUNDUP(I32/10000,0)&lt;=0),0,K12-ROUNDUP(I32/10000,0))</f>
        <v>0</v>
      </c>
    </row>
    <row r="33" spans="3:6" ht="18" customHeight="1">
      <c r="C33" s="188" t="str">
        <f>IF(AND(U3=1,R9=TRUE,E9&gt;0),"※ リフォーム・オプション工事完了後の融資実行となります",IF(AND(U3=2,R9=TRUE,E9&gt;0),"※ リフォーム一体型です",""))</f>
        <v/>
      </c>
    </row>
    <row r="34" spans="3:6" ht="18" customHeight="1">
      <c r="C34" s="1109" t="s">
        <v>557</v>
      </c>
      <c r="D34" s="1109"/>
    </row>
    <row r="35" spans="3:6" ht="18" customHeight="1">
      <c r="E35" s="551" t="s">
        <v>341</v>
      </c>
    </row>
    <row r="37" spans="3:6" ht="18" customHeight="1">
      <c r="E37" s="551" t="s">
        <v>558</v>
      </c>
      <c r="F37" s="551" t="s">
        <v>559</v>
      </c>
    </row>
  </sheetData>
  <sheetProtection algorithmName="SHA-512" hashValue="T4cLmvghTRrCtAKehAY4giKac1q2FA6DP321jUvHmIluVVmLygUYOZ1UtF9/qg5vNfr1XcwXCOrqHkFITZb9vg==" saltValue="h36i1zb+/5dmvSE/391pRA==" spinCount="100000" sheet="1" selectLockedCells="1"/>
  <mergeCells count="46">
    <mergeCell ref="B2:B3"/>
    <mergeCell ref="A7:A27"/>
    <mergeCell ref="B7:B9"/>
    <mergeCell ref="C7:D7"/>
    <mergeCell ref="C8:D8"/>
    <mergeCell ref="C9:D9"/>
    <mergeCell ref="C10:D10"/>
    <mergeCell ref="C12:D12"/>
    <mergeCell ref="C13:D13"/>
    <mergeCell ref="C14:D14"/>
    <mergeCell ref="C15:D15"/>
    <mergeCell ref="C16:D16"/>
    <mergeCell ref="C17:D17"/>
    <mergeCell ref="B10:B29"/>
    <mergeCell ref="C27:D27"/>
    <mergeCell ref="C23:D23"/>
    <mergeCell ref="C34:D34"/>
    <mergeCell ref="M19:N19"/>
    <mergeCell ref="J6:K6"/>
    <mergeCell ref="J5:K5"/>
    <mergeCell ref="K18:L18"/>
    <mergeCell ref="C32:D32"/>
    <mergeCell ref="C20:D20"/>
    <mergeCell ref="C21:D21"/>
    <mergeCell ref="I30:J30"/>
    <mergeCell ref="C28:D28"/>
    <mergeCell ref="C29:D29"/>
    <mergeCell ref="C19:D19"/>
    <mergeCell ref="C18:D18"/>
    <mergeCell ref="K11:L11"/>
    <mergeCell ref="G10:I10"/>
    <mergeCell ref="C26:D26"/>
    <mergeCell ref="G12:H12"/>
    <mergeCell ref="C22:D22"/>
    <mergeCell ref="K1:N1"/>
    <mergeCell ref="E4:F4"/>
    <mergeCell ref="C31:D31"/>
    <mergeCell ref="J2:K2"/>
    <mergeCell ref="J3:K3"/>
    <mergeCell ref="J4:K4"/>
    <mergeCell ref="C30:D30"/>
    <mergeCell ref="C1:D1"/>
    <mergeCell ref="C11:D11"/>
    <mergeCell ref="C24:D24"/>
    <mergeCell ref="C25:D25"/>
    <mergeCell ref="C5:D5"/>
  </mergeCells>
  <phoneticPr fontId="8"/>
  <conditionalFormatting sqref="A7">
    <cfRule type="expression" dxfId="62" priority="43">
      <formula>$X$28=0</formula>
    </cfRule>
  </conditionalFormatting>
  <conditionalFormatting sqref="C4">
    <cfRule type="expression" dxfId="61" priority="20">
      <formula>U5=1</formula>
    </cfRule>
  </conditionalFormatting>
  <conditionalFormatting sqref="C8">
    <cfRule type="expression" dxfId="60" priority="39">
      <formula>OR($U$4=1,$U$4=4)</formula>
    </cfRule>
  </conditionalFormatting>
  <conditionalFormatting sqref="C9">
    <cfRule type="expression" dxfId="59" priority="47">
      <formula>$U$4&lt;=2</formula>
    </cfRule>
    <cfRule type="expression" dxfId="58" priority="46">
      <formula>AND($R$9=FALSE,$U$3=2)</formula>
    </cfRule>
    <cfRule type="expression" dxfId="57" priority="45">
      <formula>AND($R$9=FALSE,$U$3=1)</formula>
    </cfRule>
  </conditionalFormatting>
  <conditionalFormatting sqref="C13">
    <cfRule type="expression" dxfId="56" priority="49">
      <formula>AND($E$9=0,$T$4&gt;=13)</formula>
    </cfRule>
    <cfRule type="expression" dxfId="55" priority="50">
      <formula>AND($R$9=FALSE,$U$3=1)</formula>
    </cfRule>
    <cfRule type="expression" dxfId="54" priority="51">
      <formula>AND($R$9=FALSE,$U$3=2)</formula>
    </cfRule>
  </conditionalFormatting>
  <conditionalFormatting sqref="C14">
    <cfRule type="expression" dxfId="53" priority="41">
      <formula>$U$4=1</formula>
    </cfRule>
  </conditionalFormatting>
  <conditionalFormatting sqref="C19">
    <cfRule type="expression" dxfId="52" priority="40">
      <formula>$U$4&lt;4</formula>
    </cfRule>
  </conditionalFormatting>
  <conditionalFormatting sqref="C20">
    <cfRule type="expression" dxfId="51" priority="8">
      <formula>OR(OR($T$4=11,$T$4=13,$T$4=14),AND($U$3=2,$S$9=0))</formula>
    </cfRule>
  </conditionalFormatting>
  <conditionalFormatting sqref="C22:C23">
    <cfRule type="expression" dxfId="50" priority="48">
      <formula>OR($T$4=13,$T$4=14,$T$4=21,$T$4=22,AND($T$4=23,$S$9=0),AND($T$4=24,$S$9=0))</formula>
    </cfRule>
  </conditionalFormatting>
  <conditionalFormatting sqref="C11:D11">
    <cfRule type="expression" dxfId="48" priority="4">
      <formula>$Q$11=0</formula>
    </cfRule>
  </conditionalFormatting>
  <conditionalFormatting sqref="C12:D12">
    <cfRule type="expression" dxfId="47" priority="52">
      <formula>U4=1</formula>
    </cfRule>
  </conditionalFormatting>
  <conditionalFormatting sqref="C17:D18">
    <cfRule type="expression" dxfId="46" priority="11">
      <formula>$R17=FALSE</formula>
    </cfRule>
  </conditionalFormatting>
  <conditionalFormatting sqref="C20:D20">
    <cfRule type="expression" dxfId="45" priority="42">
      <formula>$R$20=FALSE</formula>
    </cfRule>
  </conditionalFormatting>
  <conditionalFormatting sqref="C21:D23">
    <cfRule type="expression" dxfId="44" priority="10">
      <formula>$R21=FALSE</formula>
    </cfRule>
  </conditionalFormatting>
  <conditionalFormatting sqref="C24:D24">
    <cfRule type="expression" dxfId="43" priority="9">
      <formula>$R$24=FALSE</formula>
    </cfRule>
  </conditionalFormatting>
  <conditionalFormatting sqref="D4">
    <cfRule type="expression" dxfId="42" priority="19">
      <formula>U5=2</formula>
    </cfRule>
  </conditionalFormatting>
  <conditionalFormatting sqref="E10:E11">
    <cfRule type="cellIs" dxfId="41" priority="65" operator="notEqual">
      <formula>F10</formula>
    </cfRule>
  </conditionalFormatting>
  <conditionalFormatting sqref="E30">
    <cfRule type="expression" dxfId="40" priority="14">
      <formula>X27&lt;&gt;0</formula>
    </cfRule>
  </conditionalFormatting>
  <conditionalFormatting sqref="E32">
    <cfRule type="expression" dxfId="39" priority="6">
      <formula>OR(T4=21,T4=22)</formula>
    </cfRule>
    <cfRule type="expression" dxfId="38" priority="132">
      <formula>X28&lt;&gt;0</formula>
    </cfRule>
  </conditionalFormatting>
  <conditionalFormatting sqref="E4:F4">
    <cfRule type="expression" dxfId="37" priority="7">
      <formula>OR(T4=21,T4=22)</formula>
    </cfRule>
  </conditionalFormatting>
  <conditionalFormatting sqref="H2:H3">
    <cfRule type="expression" dxfId="36" priority="54">
      <formula>#REF!=1</formula>
    </cfRule>
  </conditionalFormatting>
  <conditionalFormatting sqref="H5">
    <cfRule type="expression" dxfId="35" priority="63">
      <formula>$M32=1</formula>
    </cfRule>
  </conditionalFormatting>
  <conditionalFormatting sqref="H29">
    <cfRule type="expression" dxfId="34" priority="23">
      <formula>$M53=1</formula>
    </cfRule>
  </conditionalFormatting>
  <conditionalFormatting sqref="I17:I18">
    <cfRule type="containsText" dxfId="33" priority="18" operator="containsText" text="対象外です">
      <formula>NOT(ISERROR(SEARCH("対象外です",I17)))</formula>
    </cfRule>
  </conditionalFormatting>
  <conditionalFormatting sqref="I30 K30:L30">
    <cfRule type="expression" dxfId="32" priority="21">
      <formula>$K$30&lt;=0</formula>
    </cfRule>
  </conditionalFormatting>
  <conditionalFormatting sqref="K20:K22 K26:K28">
    <cfRule type="cellIs" dxfId="31" priority="17" operator="greaterThan">
      <formula>I20</formula>
    </cfRule>
  </conditionalFormatting>
  <conditionalFormatting sqref="K24">
    <cfRule type="cellIs" dxfId="30" priority="3" operator="greaterThan">
      <formula>$I$24</formula>
    </cfRule>
    <cfRule type="cellIs" dxfId="29" priority="2" operator="between">
      <formula>1</formula>
      <formula>49</formula>
    </cfRule>
  </conditionalFormatting>
  <conditionalFormatting sqref="K28">
    <cfRule type="expression" dxfId="28" priority="62">
      <formula>AND($K$26+$K$27&lt;50,$I$28&gt;0,NOT(AND(K26=0,K27=0)))</formula>
    </cfRule>
  </conditionalFormatting>
  <conditionalFormatting sqref="K29">
    <cfRule type="cellIs" dxfId="27" priority="12" operator="between">
      <formula>1</formula>
      <formula>29</formula>
    </cfRule>
  </conditionalFormatting>
  <conditionalFormatting sqref="K15:M17">
    <cfRule type="expression" dxfId="26" priority="5">
      <formula>$Q$3=TRUE</formula>
    </cfRule>
  </conditionalFormatting>
  <dataValidations count="5">
    <dataValidation type="whole" operator="lessThanOrEqual" allowBlank="1" showInputMessage="1" showErrorMessage="1" errorTitle="借入可能額超過" error="借入可能額以下にしてください。" sqref="M20:M21" xr:uid="{00000000-0002-0000-0400-000000000000}">
      <formula1>I20</formula1>
    </dataValidation>
    <dataValidation type="whole" errorStyle="warning" operator="lessThanOrEqual" allowBlank="1" showInputMessage="1" showErrorMessage="1" errorTitle="借入可能額超過" error="借入可能額以下にしてください。_x000a_試算のための参考値として" sqref="M26:M27" xr:uid="{00000000-0002-0000-0400-000001000000}">
      <formula1>I26</formula1>
    </dataValidation>
    <dataValidation type="custom" operator="lessThanOrEqual" allowBlank="1" showInputMessage="1" showErrorMessage="1" errorTitle="借入額エラー" error="３０万円以上、借入可能額以下にしてください" sqref="M29" xr:uid="{00000000-0002-0000-0400-000002000000}">
      <formula1>OR(M29=0,AND(M29&gt;=30,M29&lt;=I29))</formula1>
    </dataValidation>
    <dataValidation type="whole" operator="lessThanOrEqual" allowBlank="1" showInputMessage="1" showErrorMessage="1" errorTitle="借入可能額超過" error="借入可能額を超える融資はできません。" sqref="M24" xr:uid="{00000000-0002-0000-0400-000003000000}">
      <formula1>I24</formula1>
    </dataValidation>
    <dataValidation type="list" allowBlank="1" showInputMessage="1" showErrorMessage="1" sqref="F37" xr:uid="{00000000-0002-0000-0400-000004000000}">
      <formula1>"新,旧"</formula1>
    </dataValidation>
  </dataValidations>
  <hyperlinks>
    <hyperlink ref="K16" location="入力シート!C53" display="入力シート!C53" xr:uid="{00000000-0004-0000-0400-000000000000}"/>
    <hyperlink ref="C34:D34" location="入力シート!A42" display="入力シートへ戻る" xr:uid="{00000000-0004-0000-0400-000001000000}"/>
    <hyperlink ref="F5" location="入力シート!B23" display="変更" xr:uid="{00000000-0004-0000-0400-000002000000}"/>
  </hyperlinks>
  <printOptions horizontalCentered="1"/>
  <pageMargins left="0.19685039370078741" right="0.19685039370078741" top="0.35433070866141736" bottom="0.15748031496062992" header="0.31496062992125984"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Group Box 824">
              <controlPr defaultSize="0" autoFill="0" autoPict="0">
                <anchor moveWithCells="1">
                  <from>
                    <xdr:col>2</xdr:col>
                    <xdr:colOff>0</xdr:colOff>
                    <xdr:row>1</xdr:row>
                    <xdr:rowOff>0</xdr:rowOff>
                  </from>
                  <to>
                    <xdr:col>5</xdr:col>
                    <xdr:colOff>0</xdr:colOff>
                    <xdr:row>2</xdr:row>
                    <xdr:rowOff>0</xdr:rowOff>
                  </to>
                </anchor>
              </controlPr>
            </control>
          </mc:Choice>
        </mc:AlternateContent>
        <mc:AlternateContent xmlns:mc="http://schemas.openxmlformats.org/markup-compatibility/2006">
          <mc:Choice Requires="x14">
            <control shapeId="10242" r:id="rId5" name="Option Button 821">
              <controlPr defaultSize="0" autoFill="0" autoLine="0" autoPict="0">
                <anchor moveWithCells="1">
                  <from>
                    <xdr:col>2</xdr:col>
                    <xdr:colOff>9525</xdr:colOff>
                    <xdr:row>1</xdr:row>
                    <xdr:rowOff>9525</xdr:rowOff>
                  </from>
                  <to>
                    <xdr:col>3</xdr:col>
                    <xdr:colOff>0</xdr:colOff>
                    <xdr:row>2</xdr:row>
                    <xdr:rowOff>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2</xdr:col>
                    <xdr:colOff>9525</xdr:colOff>
                    <xdr:row>2</xdr:row>
                    <xdr:rowOff>28575</xdr:rowOff>
                  </from>
                  <to>
                    <xdr:col>3</xdr:col>
                    <xdr:colOff>0</xdr:colOff>
                    <xdr:row>3</xdr:row>
                    <xdr:rowOff>0</xdr:rowOff>
                  </to>
                </anchor>
              </controlPr>
            </control>
          </mc:Choice>
        </mc:AlternateContent>
        <mc:AlternateContent xmlns:mc="http://schemas.openxmlformats.org/markup-compatibility/2006">
          <mc:Choice Requires="x14">
            <control shapeId="10244" r:id="rId7" name="Option Button 820">
              <controlPr defaultSize="0" autoFill="0" autoLine="0" autoPict="0">
                <anchor moveWithCells="1">
                  <from>
                    <xdr:col>4</xdr:col>
                    <xdr:colOff>9525</xdr:colOff>
                    <xdr:row>1</xdr:row>
                    <xdr:rowOff>19050</xdr:rowOff>
                  </from>
                  <to>
                    <xdr:col>4</xdr:col>
                    <xdr:colOff>704850</xdr:colOff>
                    <xdr:row>2</xdr:row>
                    <xdr:rowOff>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3</xdr:col>
                    <xdr:colOff>0</xdr:colOff>
                    <xdr:row>2</xdr:row>
                    <xdr:rowOff>28575</xdr:rowOff>
                  </from>
                  <to>
                    <xdr:col>4</xdr:col>
                    <xdr:colOff>0</xdr:colOff>
                    <xdr:row>3</xdr:row>
                    <xdr:rowOff>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4</xdr:col>
                    <xdr:colOff>19050</xdr:colOff>
                    <xdr:row>2</xdr:row>
                    <xdr:rowOff>19050</xdr:rowOff>
                  </from>
                  <to>
                    <xdr:col>5</xdr:col>
                    <xdr:colOff>0</xdr:colOff>
                    <xdr:row>3</xdr:row>
                    <xdr:rowOff>0</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9525</xdr:colOff>
                    <xdr:row>2</xdr:row>
                    <xdr:rowOff>9525</xdr:rowOff>
                  </from>
                  <to>
                    <xdr:col>5</xdr:col>
                    <xdr:colOff>752475</xdr:colOff>
                    <xdr:row>3</xdr:row>
                    <xdr:rowOff>0</xdr:rowOff>
                  </to>
                </anchor>
              </controlPr>
            </control>
          </mc:Choice>
        </mc:AlternateContent>
        <mc:AlternateContent xmlns:mc="http://schemas.openxmlformats.org/markup-compatibility/2006">
          <mc:Choice Requires="x14">
            <control shapeId="10248" r:id="rId11" name="Option Button 8">
              <controlPr defaultSize="0" autoFill="0" autoLine="0" autoPict="0">
                <anchor moveWithCells="1">
                  <from>
                    <xdr:col>2</xdr:col>
                    <xdr:colOff>9525</xdr:colOff>
                    <xdr:row>3</xdr:row>
                    <xdr:rowOff>28575</xdr:rowOff>
                  </from>
                  <to>
                    <xdr:col>3</xdr:col>
                    <xdr:colOff>0</xdr:colOff>
                    <xdr:row>3</xdr:row>
                    <xdr:rowOff>219075</xdr:rowOff>
                  </to>
                </anchor>
              </controlPr>
            </control>
          </mc:Choice>
        </mc:AlternateContent>
        <mc:AlternateContent xmlns:mc="http://schemas.openxmlformats.org/markup-compatibility/2006">
          <mc:Choice Requires="x14">
            <control shapeId="10249" r:id="rId12" name="Option Button 9">
              <controlPr defaultSize="0" autoFill="0" autoLine="0" autoPict="0">
                <anchor moveWithCells="1">
                  <from>
                    <xdr:col>3</xdr:col>
                    <xdr:colOff>0</xdr:colOff>
                    <xdr:row>3</xdr:row>
                    <xdr:rowOff>28575</xdr:rowOff>
                  </from>
                  <to>
                    <xdr:col>4</xdr:col>
                    <xdr:colOff>0</xdr:colOff>
                    <xdr:row>3</xdr:row>
                    <xdr:rowOff>219075</xdr:rowOff>
                  </to>
                </anchor>
              </controlPr>
            </control>
          </mc:Choice>
        </mc:AlternateContent>
        <mc:AlternateContent xmlns:mc="http://schemas.openxmlformats.org/markup-compatibility/2006">
          <mc:Choice Requires="x14">
            <control shapeId="10250" r:id="rId13" name="Group Box 10">
              <controlPr defaultSize="0" autoFill="0" autoPict="0">
                <anchor moveWithCells="1">
                  <from>
                    <xdr:col>2</xdr:col>
                    <xdr:colOff>0</xdr:colOff>
                    <xdr:row>3</xdr:row>
                    <xdr:rowOff>0</xdr:rowOff>
                  </from>
                  <to>
                    <xdr:col>4</xdr:col>
                    <xdr:colOff>0</xdr:colOff>
                    <xdr:row>4</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xdr:col>
                    <xdr:colOff>9525</xdr:colOff>
                    <xdr:row>8</xdr:row>
                    <xdr:rowOff>0</xdr:rowOff>
                  </from>
                  <to>
                    <xdr:col>5</xdr:col>
                    <xdr:colOff>247650</xdr:colOff>
                    <xdr:row>9</xdr:row>
                    <xdr:rowOff>19050</xdr:rowOff>
                  </to>
                </anchor>
              </controlPr>
            </control>
          </mc:Choice>
        </mc:AlternateContent>
        <mc:AlternateContent xmlns:mc="http://schemas.openxmlformats.org/markup-compatibility/2006">
          <mc:Choice Requires="x14">
            <control shapeId="10255" r:id="rId15" name="Option Button 15">
              <controlPr defaultSize="0" autoFill="0" autoLine="0" autoPict="0">
                <anchor moveWithCells="1">
                  <from>
                    <xdr:col>6</xdr:col>
                    <xdr:colOff>485775</xdr:colOff>
                    <xdr:row>23</xdr:row>
                    <xdr:rowOff>38100</xdr:rowOff>
                  </from>
                  <to>
                    <xdr:col>7</xdr:col>
                    <xdr:colOff>0</xdr:colOff>
                    <xdr:row>23</xdr:row>
                    <xdr:rowOff>200025</xdr:rowOff>
                  </to>
                </anchor>
              </controlPr>
            </control>
          </mc:Choice>
        </mc:AlternateContent>
        <mc:AlternateContent xmlns:mc="http://schemas.openxmlformats.org/markup-compatibility/2006">
          <mc:Choice Requires="x14">
            <control shapeId="10256" r:id="rId16" name="Option Button 16">
              <controlPr defaultSize="0" autoFill="0" autoLine="0" autoPict="0">
                <anchor moveWithCells="1">
                  <from>
                    <xdr:col>6</xdr:col>
                    <xdr:colOff>495300</xdr:colOff>
                    <xdr:row>25</xdr:row>
                    <xdr:rowOff>38100</xdr:rowOff>
                  </from>
                  <to>
                    <xdr:col>7</xdr:col>
                    <xdr:colOff>0</xdr:colOff>
                    <xdr:row>25</xdr:row>
                    <xdr:rowOff>200025</xdr:rowOff>
                  </to>
                </anchor>
              </controlPr>
            </control>
          </mc:Choice>
        </mc:AlternateContent>
        <mc:AlternateContent xmlns:mc="http://schemas.openxmlformats.org/markup-compatibility/2006">
          <mc:Choice Requires="x14">
            <control shapeId="10258" r:id="rId17" name="Group Box 18">
              <controlPr defaultSize="0" autoFill="0" autoPict="0">
                <anchor moveWithCells="1">
                  <from>
                    <xdr:col>6</xdr:col>
                    <xdr:colOff>371475</xdr:colOff>
                    <xdr:row>23</xdr:row>
                    <xdr:rowOff>0</xdr:rowOff>
                  </from>
                  <to>
                    <xdr:col>7</xdr:col>
                    <xdr:colOff>0</xdr:colOff>
                    <xdr:row>26</xdr:row>
                    <xdr:rowOff>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5</xdr:col>
                    <xdr:colOff>9525</xdr:colOff>
                    <xdr:row>16</xdr:row>
                    <xdr:rowOff>38100</xdr:rowOff>
                  </from>
                  <to>
                    <xdr:col>5</xdr:col>
                    <xdr:colOff>209550</xdr:colOff>
                    <xdr:row>17</xdr:row>
                    <xdr:rowOff>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5</xdr:col>
                    <xdr:colOff>9525</xdr:colOff>
                    <xdr:row>20</xdr:row>
                    <xdr:rowOff>19050</xdr:rowOff>
                  </from>
                  <to>
                    <xdr:col>5</xdr:col>
                    <xdr:colOff>171450</xdr:colOff>
                    <xdr:row>21</xdr:row>
                    <xdr:rowOff>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5</xdr:col>
                    <xdr:colOff>9525</xdr:colOff>
                    <xdr:row>23</xdr:row>
                    <xdr:rowOff>19050</xdr:rowOff>
                  </from>
                  <to>
                    <xdr:col>5</xdr:col>
                    <xdr:colOff>171450</xdr:colOff>
                    <xdr:row>24</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nchor moveWithCells="1">
                  <from>
                    <xdr:col>5</xdr:col>
                    <xdr:colOff>9525</xdr:colOff>
                    <xdr:row>19</xdr:row>
                    <xdr:rowOff>19050</xdr:rowOff>
                  </from>
                  <to>
                    <xdr:col>5</xdr:col>
                    <xdr:colOff>171450</xdr:colOff>
                    <xdr:row>20</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5</xdr:col>
                    <xdr:colOff>9525</xdr:colOff>
                    <xdr:row>17</xdr:row>
                    <xdr:rowOff>9525</xdr:rowOff>
                  </from>
                  <to>
                    <xdr:col>5</xdr:col>
                    <xdr:colOff>228600</xdr:colOff>
                    <xdr:row>18</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nchor moveWithCells="1">
                  <from>
                    <xdr:col>5</xdr:col>
                    <xdr:colOff>9525</xdr:colOff>
                    <xdr:row>21</xdr:row>
                    <xdr:rowOff>19050</xdr:rowOff>
                  </from>
                  <to>
                    <xdr:col>5</xdr:col>
                    <xdr:colOff>171450</xdr:colOff>
                    <xdr:row>22</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nchor moveWithCells="1">
                  <from>
                    <xdr:col>5</xdr:col>
                    <xdr:colOff>9525</xdr:colOff>
                    <xdr:row>22</xdr:row>
                    <xdr:rowOff>19050</xdr:rowOff>
                  </from>
                  <to>
                    <xdr:col>5</xdr:col>
                    <xdr:colOff>171450</xdr:colOff>
                    <xdr:row>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4F877BA2-2832-4BD8-B1CB-DE4F67EE81FF}">
            <xm:f>計算シート!$H$21&gt;1</xm:f>
            <x14:dxf>
              <font>
                <color theme="0"/>
              </font>
              <fill>
                <patternFill>
                  <bgColor rgb="FF96460A"/>
                </patternFill>
              </fill>
            </x14:dxf>
          </x14:cfRule>
          <xm:sqref>C5:D5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AL55"/>
  <sheetViews>
    <sheetView topLeftCell="A13" workbookViewId="0">
      <selection activeCell="A40" sqref="A40:K41"/>
    </sheetView>
  </sheetViews>
  <sheetFormatPr defaultColWidth="9" defaultRowHeight="13.5"/>
  <cols>
    <col min="1" max="1" width="3.125" style="275" customWidth="1"/>
    <col min="2" max="18" width="2.625" style="275" customWidth="1"/>
    <col min="19" max="62" width="3.125" style="275" customWidth="1"/>
    <col min="63" max="16384" width="9" style="275"/>
  </cols>
  <sheetData>
    <row r="1" spans="1:38" ht="19.5" customHeight="1">
      <c r="A1" s="1472" t="s">
        <v>560</v>
      </c>
      <c r="B1" s="1472"/>
      <c r="C1" s="1472"/>
      <c r="D1" s="1472"/>
      <c r="E1" s="1472"/>
      <c r="F1" s="1472"/>
      <c r="G1" s="1472"/>
      <c r="H1" s="1472"/>
      <c r="I1" s="1472"/>
      <c r="J1" s="1472"/>
      <c r="K1" s="1472"/>
      <c r="L1" s="1472"/>
      <c r="M1" s="1472"/>
      <c r="N1" s="1472"/>
      <c r="O1" s="1472"/>
      <c r="P1" s="1472"/>
      <c r="Q1" s="1472"/>
      <c r="R1" s="1472"/>
      <c r="S1" s="1472"/>
      <c r="T1" s="1472"/>
      <c r="U1" s="1472"/>
      <c r="V1" s="1472"/>
      <c r="W1" s="1472"/>
      <c r="X1" s="1472"/>
      <c r="Y1" s="1472"/>
      <c r="Z1" s="1472"/>
      <c r="AA1" s="1472"/>
      <c r="AB1" s="1472"/>
      <c r="AC1" s="1472"/>
      <c r="AD1" s="1472"/>
      <c r="AE1" s="1472"/>
      <c r="AF1" s="1472"/>
      <c r="AG1" s="1472"/>
      <c r="AH1" s="1472"/>
      <c r="AI1" s="1472"/>
      <c r="AJ1" s="1472"/>
      <c r="AK1" s="1472"/>
      <c r="AL1" s="1472"/>
    </row>
    <row r="2" spans="1:38" ht="14.25" thickBot="1">
      <c r="A2" s="1473"/>
      <c r="B2" s="1473"/>
      <c r="C2" s="1473"/>
      <c r="D2" s="1473"/>
      <c r="E2" s="1473"/>
      <c r="F2" s="1473"/>
      <c r="G2" s="1473"/>
      <c r="H2" s="1473"/>
      <c r="I2" s="1473"/>
      <c r="J2" s="1473"/>
      <c r="K2" s="1473"/>
      <c r="L2" s="1473"/>
      <c r="M2" s="1473"/>
      <c r="N2" s="1473"/>
      <c r="O2" s="1473"/>
      <c r="P2" s="1473"/>
      <c r="Q2" s="1473"/>
      <c r="R2" s="1473"/>
      <c r="S2" s="1473"/>
      <c r="T2" s="1473"/>
      <c r="U2" s="1473"/>
      <c r="V2" s="1473"/>
      <c r="W2" s="1473"/>
      <c r="X2" s="1473"/>
      <c r="Y2" s="1473"/>
      <c r="Z2" s="1473"/>
      <c r="AA2" s="1473"/>
      <c r="AB2" s="1473"/>
      <c r="AC2" s="1473"/>
      <c r="AD2" s="1473"/>
      <c r="AE2" s="1473"/>
      <c r="AF2" s="1473"/>
      <c r="AG2" s="1473"/>
      <c r="AH2" s="1473"/>
      <c r="AI2" s="1473"/>
      <c r="AJ2" s="1473"/>
      <c r="AK2" s="1473"/>
      <c r="AL2" s="1473"/>
    </row>
    <row r="3" spans="1:38" ht="6" customHeight="1" thickTop="1">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8">
      <c r="A4" s="1570" t="s">
        <v>561</v>
      </c>
      <c r="B4" s="1571"/>
      <c r="C4" s="1571"/>
      <c r="D4" s="1571"/>
      <c r="E4" s="1571"/>
      <c r="F4" s="1571"/>
      <c r="G4" s="1571"/>
      <c r="H4" s="1571"/>
      <c r="I4" s="1571"/>
      <c r="J4" s="1571"/>
      <c r="K4" s="1572"/>
      <c r="L4" s="1576" t="s">
        <v>562</v>
      </c>
      <c r="M4" s="1576"/>
      <c r="N4" s="1576"/>
      <c r="O4" s="1576"/>
      <c r="P4" s="1576"/>
      <c r="Q4" s="1576"/>
      <c r="R4" s="1576"/>
      <c r="S4" s="1577" t="s">
        <v>563</v>
      </c>
      <c r="T4" s="1571"/>
      <c r="U4" s="1571"/>
      <c r="V4" s="1571"/>
      <c r="W4" s="1571"/>
      <c r="X4" s="1571"/>
      <c r="Y4" s="1572"/>
      <c r="Z4" s="1577" t="s">
        <v>564</v>
      </c>
      <c r="AA4" s="1571"/>
      <c r="AB4" s="1571"/>
      <c r="AC4" s="1571"/>
      <c r="AD4" s="1571"/>
      <c r="AE4" s="1571"/>
      <c r="AF4" s="1572"/>
      <c r="AG4" s="1490" t="s">
        <v>565</v>
      </c>
      <c r="AH4" s="1490"/>
      <c r="AI4" s="1490"/>
      <c r="AJ4" s="1490" t="s">
        <v>566</v>
      </c>
      <c r="AK4" s="1490"/>
      <c r="AL4" s="1490"/>
    </row>
    <row r="5" spans="1:38">
      <c r="A5" s="1573"/>
      <c r="B5" s="1574"/>
      <c r="C5" s="1574"/>
      <c r="D5" s="1574"/>
      <c r="E5" s="1574"/>
      <c r="F5" s="1574"/>
      <c r="G5" s="1574"/>
      <c r="H5" s="1574"/>
      <c r="I5" s="1574"/>
      <c r="J5" s="1574"/>
      <c r="K5" s="1575"/>
      <c r="L5" s="1576"/>
      <c r="M5" s="1576"/>
      <c r="N5" s="1576"/>
      <c r="O5" s="1576"/>
      <c r="P5" s="1576"/>
      <c r="Q5" s="1576"/>
      <c r="R5" s="1576"/>
      <c r="S5" s="1573"/>
      <c r="T5" s="1574"/>
      <c r="U5" s="1574"/>
      <c r="V5" s="1574"/>
      <c r="W5" s="1574"/>
      <c r="X5" s="1574"/>
      <c r="Y5" s="1575"/>
      <c r="Z5" s="1573"/>
      <c r="AA5" s="1574"/>
      <c r="AB5" s="1574"/>
      <c r="AC5" s="1574"/>
      <c r="AD5" s="1574"/>
      <c r="AE5" s="1574"/>
      <c r="AF5" s="1575"/>
      <c r="AG5" s="1490"/>
      <c r="AH5" s="1490"/>
      <c r="AI5" s="1490"/>
      <c r="AJ5" s="1490"/>
      <c r="AK5" s="1490"/>
      <c r="AL5" s="1490"/>
    </row>
    <row r="6" spans="1:38" ht="18.75" customHeight="1">
      <c r="A6" s="1491">
        <v>1</v>
      </c>
      <c r="B6" s="1559" t="s">
        <v>567</v>
      </c>
      <c r="C6" s="1565"/>
      <c r="D6" s="1565"/>
      <c r="E6" s="1565"/>
      <c r="F6" s="1565"/>
      <c r="G6" s="1565"/>
      <c r="H6" s="1565"/>
      <c r="I6" s="1565"/>
      <c r="J6" s="1565"/>
      <c r="K6" s="1566"/>
      <c r="L6" s="1532" t="s">
        <v>568</v>
      </c>
      <c r="M6" s="1532"/>
      <c r="N6" s="1532"/>
      <c r="O6" s="1532"/>
      <c r="P6" s="1532"/>
      <c r="Q6" s="1532"/>
      <c r="R6" s="1532"/>
      <c r="S6" s="1451" t="str">
        <f>IF(資金計画!E13+資金計画!E14=0,"",資金計画!E13+資金計画!E14)</f>
        <v/>
      </c>
      <c r="T6" s="1452"/>
      <c r="U6" s="1452"/>
      <c r="V6" s="1452"/>
      <c r="W6" s="1452"/>
      <c r="X6" s="1452"/>
      <c r="Y6" s="1455" t="s">
        <v>569</v>
      </c>
      <c r="Z6" s="1451"/>
      <c r="AA6" s="1452"/>
      <c r="AB6" s="1452"/>
      <c r="AC6" s="1452"/>
      <c r="AD6" s="1452"/>
      <c r="AE6" s="1452"/>
      <c r="AF6" s="1455" t="s">
        <v>569</v>
      </c>
      <c r="AG6" s="1446"/>
      <c r="AH6" s="1446"/>
      <c r="AI6" s="1446"/>
      <c r="AJ6" s="1447"/>
      <c r="AK6" s="1447"/>
      <c r="AL6" s="1447"/>
    </row>
    <row r="7" spans="1:38">
      <c r="A7" s="1492"/>
      <c r="B7" s="1567"/>
      <c r="C7" s="1568"/>
      <c r="D7" s="1568"/>
      <c r="E7" s="1568"/>
      <c r="F7" s="1568"/>
      <c r="G7" s="1568"/>
      <c r="H7" s="1568"/>
      <c r="I7" s="1568"/>
      <c r="J7" s="1568"/>
      <c r="K7" s="1569"/>
      <c r="L7" s="1532"/>
      <c r="M7" s="1532"/>
      <c r="N7" s="1532"/>
      <c r="O7" s="1532"/>
      <c r="P7" s="1532"/>
      <c r="Q7" s="1532"/>
      <c r="R7" s="1532"/>
      <c r="S7" s="1453"/>
      <c r="T7" s="1454"/>
      <c r="U7" s="1454"/>
      <c r="V7" s="1454"/>
      <c r="W7" s="1454"/>
      <c r="X7" s="1454"/>
      <c r="Y7" s="1456"/>
      <c r="Z7" s="1453"/>
      <c r="AA7" s="1454"/>
      <c r="AB7" s="1454"/>
      <c r="AC7" s="1454"/>
      <c r="AD7" s="1454"/>
      <c r="AE7" s="1454"/>
      <c r="AF7" s="1456"/>
      <c r="AG7" s="1446"/>
      <c r="AH7" s="1446"/>
      <c r="AI7" s="1446"/>
      <c r="AJ7" s="1447"/>
      <c r="AK7" s="1447"/>
      <c r="AL7" s="1447"/>
    </row>
    <row r="8" spans="1:38" ht="18.75" customHeight="1">
      <c r="A8" s="1491">
        <v>2</v>
      </c>
      <c r="B8" s="1553" t="s">
        <v>570</v>
      </c>
      <c r="C8" s="1554"/>
      <c r="D8" s="1554"/>
      <c r="E8" s="1554"/>
      <c r="F8" s="1554"/>
      <c r="G8" s="1554"/>
      <c r="H8" s="1554"/>
      <c r="I8" s="1554"/>
      <c r="J8" s="1554"/>
      <c r="K8" s="1555"/>
      <c r="L8" s="1532" t="s">
        <v>571</v>
      </c>
      <c r="M8" s="1532"/>
      <c r="N8" s="1532"/>
      <c r="O8" s="1532"/>
      <c r="P8" s="1532"/>
      <c r="Q8" s="1532"/>
      <c r="R8" s="1532"/>
      <c r="S8" s="1499" t="str">
        <f>IF(資金計画!E15=0,"",資金計画!E15)</f>
        <v/>
      </c>
      <c r="T8" s="1452"/>
      <c r="U8" s="1452"/>
      <c r="V8" s="1452"/>
      <c r="W8" s="1452"/>
      <c r="X8" s="1452"/>
      <c r="Y8" s="1455" t="s">
        <v>569</v>
      </c>
      <c r="Z8" s="1451"/>
      <c r="AA8" s="1452"/>
      <c r="AB8" s="1452"/>
      <c r="AC8" s="1452"/>
      <c r="AD8" s="1452"/>
      <c r="AE8" s="1452"/>
      <c r="AF8" s="1455" t="s">
        <v>569</v>
      </c>
      <c r="AG8" s="1446"/>
      <c r="AH8" s="1446"/>
      <c r="AI8" s="1446"/>
      <c r="AJ8" s="1447"/>
      <c r="AK8" s="1447"/>
      <c r="AL8" s="1447"/>
    </row>
    <row r="9" spans="1:38">
      <c r="A9" s="1492"/>
      <c r="B9" s="1556"/>
      <c r="C9" s="1557"/>
      <c r="D9" s="1557"/>
      <c r="E9" s="1557"/>
      <c r="F9" s="1557"/>
      <c r="G9" s="1557"/>
      <c r="H9" s="1557"/>
      <c r="I9" s="1557"/>
      <c r="J9" s="1557"/>
      <c r="K9" s="1558"/>
      <c r="L9" s="1532"/>
      <c r="M9" s="1532"/>
      <c r="N9" s="1532"/>
      <c r="O9" s="1532"/>
      <c r="P9" s="1532"/>
      <c r="Q9" s="1532"/>
      <c r="R9" s="1532"/>
      <c r="S9" s="1453"/>
      <c r="T9" s="1454"/>
      <c r="U9" s="1454"/>
      <c r="V9" s="1454"/>
      <c r="W9" s="1454"/>
      <c r="X9" s="1454"/>
      <c r="Y9" s="1456"/>
      <c r="Z9" s="1453"/>
      <c r="AA9" s="1454"/>
      <c r="AB9" s="1454"/>
      <c r="AC9" s="1454"/>
      <c r="AD9" s="1454"/>
      <c r="AE9" s="1454"/>
      <c r="AF9" s="1456"/>
      <c r="AG9" s="1446"/>
      <c r="AH9" s="1446"/>
      <c r="AI9" s="1446"/>
      <c r="AJ9" s="1447"/>
      <c r="AK9" s="1447"/>
      <c r="AL9" s="1447"/>
    </row>
    <row r="10" spans="1:38" ht="18.75" customHeight="1">
      <c r="A10" s="1491">
        <v>3</v>
      </c>
      <c r="B10" s="1506" t="s">
        <v>572</v>
      </c>
      <c r="C10" s="1494"/>
      <c r="D10" s="1494"/>
      <c r="E10" s="1494"/>
      <c r="F10" s="1494"/>
      <c r="G10" s="1494"/>
      <c r="H10" s="1494"/>
      <c r="I10" s="1494"/>
      <c r="J10" s="1494"/>
      <c r="K10" s="1495"/>
      <c r="L10" s="1507" t="str">
        <f>資金計画!K20&amp;"万"</f>
        <v>1万</v>
      </c>
      <c r="M10" s="1508"/>
      <c r="N10" s="1508"/>
      <c r="O10" s="1501" t="s">
        <v>573</v>
      </c>
      <c r="P10" s="1511">
        <f>資金計画!E10/(資金計画!K22*10000)</f>
        <v>0</v>
      </c>
      <c r="Q10" s="1511"/>
      <c r="R10" s="1512"/>
      <c r="S10" s="1499" t="str">
        <f>IF(資金計画!E10=0,"",資金計画!E10)</f>
        <v/>
      </c>
      <c r="T10" s="1452"/>
      <c r="U10" s="1452"/>
      <c r="V10" s="1452"/>
      <c r="W10" s="1452"/>
      <c r="X10" s="1452"/>
      <c r="Y10" s="1455" t="s">
        <v>569</v>
      </c>
      <c r="Z10" s="1451"/>
      <c r="AA10" s="1452"/>
      <c r="AB10" s="1452"/>
      <c r="AC10" s="1452"/>
      <c r="AD10" s="1452"/>
      <c r="AE10" s="1452"/>
      <c r="AF10" s="1455" t="s">
        <v>569</v>
      </c>
      <c r="AG10" s="1446"/>
      <c r="AH10" s="1446"/>
      <c r="AI10" s="1446"/>
      <c r="AJ10" s="1447"/>
      <c r="AK10" s="1447"/>
      <c r="AL10" s="1447"/>
    </row>
    <row r="11" spans="1:38">
      <c r="A11" s="1492"/>
      <c r="B11" s="1496"/>
      <c r="C11" s="1497"/>
      <c r="D11" s="1497"/>
      <c r="E11" s="1497"/>
      <c r="F11" s="1497"/>
      <c r="G11" s="1497"/>
      <c r="H11" s="1497"/>
      <c r="I11" s="1497"/>
      <c r="J11" s="1497"/>
      <c r="K11" s="1498"/>
      <c r="L11" s="1509"/>
      <c r="M11" s="1510"/>
      <c r="N11" s="1510"/>
      <c r="O11" s="1504"/>
      <c r="P11" s="1513"/>
      <c r="Q11" s="1513"/>
      <c r="R11" s="1514"/>
      <c r="S11" s="1453"/>
      <c r="T11" s="1454"/>
      <c r="U11" s="1454"/>
      <c r="V11" s="1454"/>
      <c r="W11" s="1454"/>
      <c r="X11" s="1454"/>
      <c r="Y11" s="1456"/>
      <c r="Z11" s="1453"/>
      <c r="AA11" s="1454"/>
      <c r="AB11" s="1454"/>
      <c r="AC11" s="1454"/>
      <c r="AD11" s="1454"/>
      <c r="AE11" s="1454"/>
      <c r="AF11" s="1456"/>
      <c r="AG11" s="1446"/>
      <c r="AH11" s="1446"/>
      <c r="AI11" s="1446"/>
      <c r="AJ11" s="1447"/>
      <c r="AK11" s="1447"/>
      <c r="AL11" s="1447"/>
    </row>
    <row r="12" spans="1:38" ht="18.75" customHeight="1">
      <c r="A12" s="1491">
        <v>4</v>
      </c>
      <c r="B12" s="1506" t="s">
        <v>574</v>
      </c>
      <c r="C12" s="1494"/>
      <c r="D12" s="1494"/>
      <c r="E12" s="1494"/>
      <c r="F12" s="1494"/>
      <c r="G12" s="1494"/>
      <c r="H12" s="1494"/>
      <c r="I12" s="1494"/>
      <c r="J12" s="1494"/>
      <c r="K12" s="1495"/>
      <c r="L12" s="1507" t="str">
        <f>資金計画!K21&amp;"万"</f>
        <v>0万</v>
      </c>
      <c r="M12" s="1508"/>
      <c r="N12" s="1508"/>
      <c r="O12" s="1501" t="s">
        <v>573</v>
      </c>
      <c r="P12" s="1511" t="str">
        <f>IF(OR(K24=0,K24=""),"---",資金計画!E11/(資金計画!K24*10000))</f>
        <v>---</v>
      </c>
      <c r="Q12" s="1511"/>
      <c r="R12" s="1512"/>
      <c r="S12" s="1499" t="str">
        <f>IF(資金計画!E11=0,"",資金計画!E11)</f>
        <v/>
      </c>
      <c r="T12" s="1452"/>
      <c r="U12" s="1452"/>
      <c r="V12" s="1452"/>
      <c r="W12" s="1452"/>
      <c r="X12" s="1452"/>
      <c r="Y12" s="1455" t="s">
        <v>569</v>
      </c>
      <c r="Z12" s="1451"/>
      <c r="AA12" s="1452"/>
      <c r="AB12" s="1452"/>
      <c r="AC12" s="1452"/>
      <c r="AD12" s="1452"/>
      <c r="AE12" s="1452"/>
      <c r="AF12" s="1455" t="s">
        <v>569</v>
      </c>
      <c r="AG12" s="1446"/>
      <c r="AH12" s="1446"/>
      <c r="AI12" s="1446"/>
      <c r="AJ12" s="1447"/>
      <c r="AK12" s="1447"/>
      <c r="AL12" s="1447"/>
    </row>
    <row r="13" spans="1:38">
      <c r="A13" s="1492"/>
      <c r="B13" s="1496"/>
      <c r="C13" s="1497"/>
      <c r="D13" s="1497"/>
      <c r="E13" s="1497"/>
      <c r="F13" s="1497"/>
      <c r="G13" s="1497"/>
      <c r="H13" s="1497"/>
      <c r="I13" s="1497"/>
      <c r="J13" s="1497"/>
      <c r="K13" s="1498"/>
      <c r="L13" s="1509"/>
      <c r="M13" s="1510"/>
      <c r="N13" s="1510"/>
      <c r="O13" s="1504"/>
      <c r="P13" s="1513"/>
      <c r="Q13" s="1513"/>
      <c r="R13" s="1514"/>
      <c r="S13" s="1453"/>
      <c r="T13" s="1454"/>
      <c r="U13" s="1454"/>
      <c r="V13" s="1454"/>
      <c r="W13" s="1454"/>
      <c r="X13" s="1454"/>
      <c r="Y13" s="1456"/>
      <c r="Z13" s="1453"/>
      <c r="AA13" s="1454"/>
      <c r="AB13" s="1454"/>
      <c r="AC13" s="1454"/>
      <c r="AD13" s="1454"/>
      <c r="AE13" s="1454"/>
      <c r="AF13" s="1456"/>
      <c r="AG13" s="1446"/>
      <c r="AH13" s="1446"/>
      <c r="AI13" s="1446"/>
      <c r="AJ13" s="1447"/>
      <c r="AK13" s="1447"/>
      <c r="AL13" s="1447"/>
    </row>
    <row r="14" spans="1:38" ht="18.75" customHeight="1">
      <c r="A14" s="1491">
        <v>5</v>
      </c>
      <c r="B14" s="1493" t="s">
        <v>575</v>
      </c>
      <c r="C14" s="1494"/>
      <c r="D14" s="1494"/>
      <c r="E14" s="1494"/>
      <c r="F14" s="1494"/>
      <c r="G14" s="1494"/>
      <c r="H14" s="1494"/>
      <c r="I14" s="1494"/>
      <c r="J14" s="1494"/>
      <c r="K14" s="1495"/>
      <c r="L14" s="1500"/>
      <c r="M14" s="1501"/>
      <c r="N14" s="1501"/>
      <c r="O14" s="1501"/>
      <c r="P14" s="1501"/>
      <c r="Q14" s="1501"/>
      <c r="R14" s="1502"/>
      <c r="S14" s="1499" t="str">
        <f>IF(資金計画!E23=0,"",資金計画!E23)</f>
        <v/>
      </c>
      <c r="T14" s="1452"/>
      <c r="U14" s="1452"/>
      <c r="V14" s="1452"/>
      <c r="W14" s="1452"/>
      <c r="X14" s="1452"/>
      <c r="Y14" s="1455" t="s">
        <v>569</v>
      </c>
      <c r="Z14" s="1451"/>
      <c r="AA14" s="1452"/>
      <c r="AB14" s="1452"/>
      <c r="AC14" s="1452"/>
      <c r="AD14" s="1452"/>
      <c r="AE14" s="1452"/>
      <c r="AF14" s="1455" t="s">
        <v>569</v>
      </c>
      <c r="AG14" s="1446"/>
      <c r="AH14" s="1446"/>
      <c r="AI14" s="1446"/>
      <c r="AJ14" s="1447"/>
      <c r="AK14" s="1447"/>
      <c r="AL14" s="1447"/>
    </row>
    <row r="15" spans="1:38">
      <c r="A15" s="1492"/>
      <c r="B15" s="1496"/>
      <c r="C15" s="1497"/>
      <c r="D15" s="1497"/>
      <c r="E15" s="1497"/>
      <c r="F15" s="1497"/>
      <c r="G15" s="1497"/>
      <c r="H15" s="1497"/>
      <c r="I15" s="1497"/>
      <c r="J15" s="1497"/>
      <c r="K15" s="1498"/>
      <c r="L15" s="1503"/>
      <c r="M15" s="1504"/>
      <c r="N15" s="1504"/>
      <c r="O15" s="1504"/>
      <c r="P15" s="1504"/>
      <c r="Q15" s="1504"/>
      <c r="R15" s="1505"/>
      <c r="S15" s="1453"/>
      <c r="T15" s="1454"/>
      <c r="U15" s="1454"/>
      <c r="V15" s="1454"/>
      <c r="W15" s="1454"/>
      <c r="X15" s="1454"/>
      <c r="Y15" s="1456"/>
      <c r="Z15" s="1453"/>
      <c r="AA15" s="1454"/>
      <c r="AB15" s="1454"/>
      <c r="AC15" s="1454"/>
      <c r="AD15" s="1454"/>
      <c r="AE15" s="1454"/>
      <c r="AF15" s="1456"/>
      <c r="AG15" s="1446"/>
      <c r="AH15" s="1446"/>
      <c r="AI15" s="1446"/>
      <c r="AJ15" s="1447"/>
      <c r="AK15" s="1447"/>
      <c r="AL15" s="1447"/>
    </row>
    <row r="16" spans="1:38" ht="18.75" customHeight="1">
      <c r="A16" s="1491">
        <v>6</v>
      </c>
      <c r="B16" s="1493" t="s">
        <v>576</v>
      </c>
      <c r="C16" s="1494"/>
      <c r="D16" s="1494"/>
      <c r="E16" s="1494"/>
      <c r="F16" s="1494"/>
      <c r="G16" s="1494"/>
      <c r="H16" s="1494"/>
      <c r="I16" s="1494"/>
      <c r="J16" s="1494"/>
      <c r="K16" s="1495"/>
      <c r="L16" s="1532"/>
      <c r="M16" s="1532"/>
      <c r="N16" s="1532"/>
      <c r="O16" s="1532"/>
      <c r="P16" s="1532"/>
      <c r="Q16" s="1532"/>
      <c r="R16" s="1532"/>
      <c r="S16" s="1499" t="str">
        <f>IF(資金計画!E22=0,"",資金計画!E22)</f>
        <v/>
      </c>
      <c r="T16" s="1452"/>
      <c r="U16" s="1452"/>
      <c r="V16" s="1452"/>
      <c r="W16" s="1452"/>
      <c r="X16" s="1452"/>
      <c r="Y16" s="1455" t="s">
        <v>569</v>
      </c>
      <c r="Z16" s="1451"/>
      <c r="AA16" s="1452"/>
      <c r="AB16" s="1452"/>
      <c r="AC16" s="1452"/>
      <c r="AD16" s="1452"/>
      <c r="AE16" s="1452"/>
      <c r="AF16" s="1455" t="s">
        <v>569</v>
      </c>
      <c r="AG16" s="1446"/>
      <c r="AH16" s="1446"/>
      <c r="AI16" s="1446"/>
      <c r="AJ16" s="1447"/>
      <c r="AK16" s="1447"/>
      <c r="AL16" s="1447"/>
    </row>
    <row r="17" spans="1:38">
      <c r="A17" s="1492"/>
      <c r="B17" s="1496"/>
      <c r="C17" s="1497"/>
      <c r="D17" s="1497"/>
      <c r="E17" s="1497"/>
      <c r="F17" s="1497"/>
      <c r="G17" s="1497"/>
      <c r="H17" s="1497"/>
      <c r="I17" s="1497"/>
      <c r="J17" s="1497"/>
      <c r="K17" s="1498"/>
      <c r="L17" s="1532"/>
      <c r="M17" s="1532"/>
      <c r="N17" s="1532"/>
      <c r="O17" s="1532"/>
      <c r="P17" s="1532"/>
      <c r="Q17" s="1532"/>
      <c r="R17" s="1532"/>
      <c r="S17" s="1453"/>
      <c r="T17" s="1454"/>
      <c r="U17" s="1454"/>
      <c r="V17" s="1454"/>
      <c r="W17" s="1454"/>
      <c r="X17" s="1454"/>
      <c r="Y17" s="1456"/>
      <c r="Z17" s="1453"/>
      <c r="AA17" s="1454"/>
      <c r="AB17" s="1454"/>
      <c r="AC17" s="1454"/>
      <c r="AD17" s="1454"/>
      <c r="AE17" s="1454"/>
      <c r="AF17" s="1456"/>
      <c r="AG17" s="1446"/>
      <c r="AH17" s="1446"/>
      <c r="AI17" s="1446"/>
      <c r="AJ17" s="1447"/>
      <c r="AK17" s="1447"/>
      <c r="AL17" s="1447"/>
    </row>
    <row r="18" spans="1:38" ht="18.75" customHeight="1">
      <c r="A18" s="1491">
        <v>7</v>
      </c>
      <c r="B18" s="1559" t="s">
        <v>577</v>
      </c>
      <c r="C18" s="1560"/>
      <c r="D18" s="1560"/>
      <c r="E18" s="1560"/>
      <c r="F18" s="1560"/>
      <c r="G18" s="1560"/>
      <c r="H18" s="1560"/>
      <c r="I18" s="1560"/>
      <c r="J18" s="1560"/>
      <c r="K18" s="1561"/>
      <c r="L18" s="1532" t="s">
        <v>578</v>
      </c>
      <c r="M18" s="1532"/>
      <c r="N18" s="1532"/>
      <c r="O18" s="1532"/>
      <c r="P18" s="1532"/>
      <c r="Q18" s="1532"/>
      <c r="R18" s="1532"/>
      <c r="S18" s="1499" t="str">
        <f>IF(資金計画!E20=0,"",資金計画!E20)</f>
        <v/>
      </c>
      <c r="T18" s="1452"/>
      <c r="U18" s="1452"/>
      <c r="V18" s="1452"/>
      <c r="W18" s="1452"/>
      <c r="X18" s="1452"/>
      <c r="Y18" s="1455" t="s">
        <v>569</v>
      </c>
      <c r="Z18" s="1451"/>
      <c r="AA18" s="1452"/>
      <c r="AB18" s="1452"/>
      <c r="AC18" s="1452"/>
      <c r="AD18" s="1452"/>
      <c r="AE18" s="1452"/>
      <c r="AF18" s="1455" t="s">
        <v>569</v>
      </c>
      <c r="AG18" s="1446"/>
      <c r="AH18" s="1446"/>
      <c r="AI18" s="1446"/>
      <c r="AJ18" s="1447"/>
      <c r="AK18" s="1447"/>
      <c r="AL18" s="1447"/>
    </row>
    <row r="19" spans="1:38">
      <c r="A19" s="1492"/>
      <c r="B19" s="1562"/>
      <c r="C19" s="1563"/>
      <c r="D19" s="1563"/>
      <c r="E19" s="1563"/>
      <c r="F19" s="1563"/>
      <c r="G19" s="1563"/>
      <c r="H19" s="1563"/>
      <c r="I19" s="1563"/>
      <c r="J19" s="1563"/>
      <c r="K19" s="1564"/>
      <c r="L19" s="1532"/>
      <c r="M19" s="1532"/>
      <c r="N19" s="1532"/>
      <c r="O19" s="1532"/>
      <c r="P19" s="1532"/>
      <c r="Q19" s="1532"/>
      <c r="R19" s="1532"/>
      <c r="S19" s="1453"/>
      <c r="T19" s="1454"/>
      <c r="U19" s="1454"/>
      <c r="V19" s="1454"/>
      <c r="W19" s="1454"/>
      <c r="X19" s="1454"/>
      <c r="Y19" s="1456"/>
      <c r="Z19" s="1453"/>
      <c r="AA19" s="1454"/>
      <c r="AB19" s="1454"/>
      <c r="AC19" s="1454"/>
      <c r="AD19" s="1454"/>
      <c r="AE19" s="1454"/>
      <c r="AF19" s="1456"/>
      <c r="AG19" s="1446"/>
      <c r="AH19" s="1446"/>
      <c r="AI19" s="1446"/>
      <c r="AJ19" s="1447"/>
      <c r="AK19" s="1447"/>
      <c r="AL19" s="1447"/>
    </row>
    <row r="20" spans="1:38" ht="18.75" customHeight="1">
      <c r="A20" s="1491">
        <v>8</v>
      </c>
      <c r="B20" s="1559" t="s">
        <v>579</v>
      </c>
      <c r="C20" s="1560"/>
      <c r="D20" s="1560"/>
      <c r="E20" s="1560"/>
      <c r="F20" s="1560"/>
      <c r="G20" s="1560"/>
      <c r="H20" s="1560"/>
      <c r="I20" s="1560"/>
      <c r="J20" s="1560"/>
      <c r="K20" s="1561"/>
      <c r="L20" s="1532" t="s">
        <v>578</v>
      </c>
      <c r="M20" s="1532"/>
      <c r="N20" s="1532"/>
      <c r="O20" s="1532"/>
      <c r="P20" s="1532"/>
      <c r="Q20" s="1532"/>
      <c r="R20" s="1532"/>
      <c r="S20" s="1499" t="str">
        <f>IF(資金計画!E21=0,"",資金計画!E21)</f>
        <v/>
      </c>
      <c r="T20" s="1452"/>
      <c r="U20" s="1452"/>
      <c r="V20" s="1452"/>
      <c r="W20" s="1452"/>
      <c r="X20" s="1452"/>
      <c r="Y20" s="1455" t="s">
        <v>569</v>
      </c>
      <c r="Z20" s="1451"/>
      <c r="AA20" s="1452"/>
      <c r="AB20" s="1452"/>
      <c r="AC20" s="1452"/>
      <c r="AD20" s="1452"/>
      <c r="AE20" s="1452"/>
      <c r="AF20" s="1455" t="s">
        <v>569</v>
      </c>
      <c r="AG20" s="1446"/>
      <c r="AH20" s="1446"/>
      <c r="AI20" s="1446"/>
      <c r="AJ20" s="1447"/>
      <c r="AK20" s="1447"/>
      <c r="AL20" s="1447"/>
    </row>
    <row r="21" spans="1:38">
      <c r="A21" s="1492"/>
      <c r="B21" s="1562"/>
      <c r="C21" s="1563"/>
      <c r="D21" s="1563"/>
      <c r="E21" s="1563"/>
      <c r="F21" s="1563"/>
      <c r="G21" s="1563"/>
      <c r="H21" s="1563"/>
      <c r="I21" s="1563"/>
      <c r="J21" s="1563"/>
      <c r="K21" s="1564"/>
      <c r="L21" s="1532"/>
      <c r="M21" s="1532"/>
      <c r="N21" s="1532"/>
      <c r="O21" s="1532"/>
      <c r="P21" s="1532"/>
      <c r="Q21" s="1532"/>
      <c r="R21" s="1532"/>
      <c r="S21" s="1453"/>
      <c r="T21" s="1454"/>
      <c r="U21" s="1454"/>
      <c r="V21" s="1454"/>
      <c r="W21" s="1454"/>
      <c r="X21" s="1454"/>
      <c r="Y21" s="1456"/>
      <c r="Z21" s="1453"/>
      <c r="AA21" s="1454"/>
      <c r="AB21" s="1454"/>
      <c r="AC21" s="1454"/>
      <c r="AD21" s="1454"/>
      <c r="AE21" s="1454"/>
      <c r="AF21" s="1456"/>
      <c r="AG21" s="1446"/>
      <c r="AH21" s="1446"/>
      <c r="AI21" s="1446"/>
      <c r="AJ21" s="1447"/>
      <c r="AK21" s="1447"/>
      <c r="AL21" s="1447"/>
    </row>
    <row r="22" spans="1:38" ht="18.75" customHeight="1">
      <c r="A22" s="1491">
        <v>9</v>
      </c>
      <c r="B22" s="1506" t="s">
        <v>580</v>
      </c>
      <c r="C22" s="1494"/>
      <c r="D22" s="1494"/>
      <c r="E22" s="1494"/>
      <c r="F22" s="1494"/>
      <c r="G22" s="1494"/>
      <c r="H22" s="1494"/>
      <c r="I22" s="1494"/>
      <c r="J22" s="1494"/>
      <c r="K22" s="1495"/>
      <c r="L22" s="1532" t="s">
        <v>578</v>
      </c>
      <c r="M22" s="1532"/>
      <c r="N22" s="1532"/>
      <c r="O22" s="1532"/>
      <c r="P22" s="1532"/>
      <c r="Q22" s="1532"/>
      <c r="R22" s="1532"/>
      <c r="S22" s="1499" t="str">
        <f>IF(資金計画!E12=0,"",資金計画!E12)</f>
        <v/>
      </c>
      <c r="T22" s="1452"/>
      <c r="U22" s="1452"/>
      <c r="V22" s="1452"/>
      <c r="W22" s="1452"/>
      <c r="X22" s="1452"/>
      <c r="Y22" s="1455" t="s">
        <v>569</v>
      </c>
      <c r="Z22" s="1451"/>
      <c r="AA22" s="1452"/>
      <c r="AB22" s="1452"/>
      <c r="AC22" s="1452"/>
      <c r="AD22" s="1452"/>
      <c r="AE22" s="1452"/>
      <c r="AF22" s="1455" t="s">
        <v>569</v>
      </c>
      <c r="AG22" s="1446"/>
      <c r="AH22" s="1446"/>
      <c r="AI22" s="1446"/>
      <c r="AJ22" s="1447"/>
      <c r="AK22" s="1447"/>
      <c r="AL22" s="1447"/>
    </row>
    <row r="23" spans="1:38">
      <c r="A23" s="1492"/>
      <c r="B23" s="1496"/>
      <c r="C23" s="1497"/>
      <c r="D23" s="1497"/>
      <c r="E23" s="1497"/>
      <c r="F23" s="1497"/>
      <c r="G23" s="1497"/>
      <c r="H23" s="1497"/>
      <c r="I23" s="1497"/>
      <c r="J23" s="1497"/>
      <c r="K23" s="1498"/>
      <c r="L23" s="1532"/>
      <c r="M23" s="1532"/>
      <c r="N23" s="1532"/>
      <c r="O23" s="1532"/>
      <c r="P23" s="1532"/>
      <c r="Q23" s="1532"/>
      <c r="R23" s="1532"/>
      <c r="S23" s="1453"/>
      <c r="T23" s="1454"/>
      <c r="U23" s="1454"/>
      <c r="V23" s="1454"/>
      <c r="W23" s="1454"/>
      <c r="X23" s="1454"/>
      <c r="Y23" s="1456"/>
      <c r="Z23" s="1453"/>
      <c r="AA23" s="1454"/>
      <c r="AB23" s="1454"/>
      <c r="AC23" s="1454"/>
      <c r="AD23" s="1454"/>
      <c r="AE23" s="1454"/>
      <c r="AF23" s="1456"/>
      <c r="AG23" s="1446"/>
      <c r="AH23" s="1446"/>
      <c r="AI23" s="1446"/>
      <c r="AJ23" s="1447"/>
      <c r="AK23" s="1447"/>
      <c r="AL23" s="1447"/>
    </row>
    <row r="24" spans="1:38" ht="18.75" customHeight="1">
      <c r="A24" s="1491">
        <v>10</v>
      </c>
      <c r="B24" s="1506" t="s">
        <v>581</v>
      </c>
      <c r="C24" s="1494"/>
      <c r="D24" s="1494"/>
      <c r="E24" s="1494"/>
      <c r="F24" s="1494"/>
      <c r="G24" s="1494"/>
      <c r="H24" s="1494"/>
      <c r="I24" s="1494"/>
      <c r="J24" s="1494"/>
      <c r="K24" s="1495"/>
      <c r="L24" s="1532" t="s">
        <v>582</v>
      </c>
      <c r="M24" s="1532"/>
      <c r="N24" s="1532"/>
      <c r="O24" s="1532"/>
      <c r="P24" s="1532"/>
      <c r="Q24" s="1532"/>
      <c r="R24" s="1532"/>
      <c r="S24" s="1499" t="str">
        <f>IF(資金計画!E24=0,"",資金計画!E24)</f>
        <v/>
      </c>
      <c r="T24" s="1452"/>
      <c r="U24" s="1452"/>
      <c r="V24" s="1452"/>
      <c r="W24" s="1452"/>
      <c r="X24" s="1452"/>
      <c r="Y24" s="1455" t="s">
        <v>569</v>
      </c>
      <c r="Z24" s="1451"/>
      <c r="AA24" s="1452"/>
      <c r="AB24" s="1452"/>
      <c r="AC24" s="1452"/>
      <c r="AD24" s="1452"/>
      <c r="AE24" s="1452"/>
      <c r="AF24" s="1455" t="s">
        <v>569</v>
      </c>
      <c r="AG24" s="1446"/>
      <c r="AH24" s="1446"/>
      <c r="AI24" s="1446"/>
      <c r="AJ24" s="1447"/>
      <c r="AK24" s="1447"/>
      <c r="AL24" s="1447"/>
    </row>
    <row r="25" spans="1:38">
      <c r="A25" s="1492"/>
      <c r="B25" s="1496"/>
      <c r="C25" s="1497"/>
      <c r="D25" s="1497"/>
      <c r="E25" s="1497"/>
      <c r="F25" s="1497"/>
      <c r="G25" s="1497"/>
      <c r="H25" s="1497"/>
      <c r="I25" s="1497"/>
      <c r="J25" s="1497"/>
      <c r="K25" s="1498"/>
      <c r="L25" s="1532"/>
      <c r="M25" s="1532"/>
      <c r="N25" s="1532"/>
      <c r="O25" s="1532"/>
      <c r="P25" s="1532"/>
      <c r="Q25" s="1532"/>
      <c r="R25" s="1532"/>
      <c r="S25" s="1453"/>
      <c r="T25" s="1454"/>
      <c r="U25" s="1454"/>
      <c r="V25" s="1454"/>
      <c r="W25" s="1454"/>
      <c r="X25" s="1454"/>
      <c r="Y25" s="1456"/>
      <c r="Z25" s="1453"/>
      <c r="AA25" s="1454"/>
      <c r="AB25" s="1454"/>
      <c r="AC25" s="1454"/>
      <c r="AD25" s="1454"/>
      <c r="AE25" s="1454"/>
      <c r="AF25" s="1456"/>
      <c r="AG25" s="1446"/>
      <c r="AH25" s="1446"/>
      <c r="AI25" s="1446"/>
      <c r="AJ25" s="1447"/>
      <c r="AK25" s="1447"/>
      <c r="AL25" s="1447"/>
    </row>
    <row r="26" spans="1:38" ht="18.75" customHeight="1">
      <c r="A26" s="1491">
        <v>11</v>
      </c>
      <c r="B26" s="1506" t="s">
        <v>583</v>
      </c>
      <c r="C26" s="1494"/>
      <c r="D26" s="1494"/>
      <c r="E26" s="1494"/>
      <c r="F26" s="1494"/>
      <c r="G26" s="1494"/>
      <c r="H26" s="1494"/>
      <c r="I26" s="1494"/>
      <c r="J26" s="1494"/>
      <c r="K26" s="1495"/>
      <c r="L26" s="1532"/>
      <c r="M26" s="1532"/>
      <c r="N26" s="1532"/>
      <c r="O26" s="1532"/>
      <c r="P26" s="1532"/>
      <c r="Q26" s="1532"/>
      <c r="R26" s="1532"/>
      <c r="S26" s="1499" t="str">
        <f>IF(資金計画!E17+資金計画!E18=0,"",資金計画!E17+資金計画!E18)</f>
        <v/>
      </c>
      <c r="T26" s="1452"/>
      <c r="U26" s="1452"/>
      <c r="V26" s="1452"/>
      <c r="W26" s="1452"/>
      <c r="X26" s="1452"/>
      <c r="Y26" s="1455" t="s">
        <v>569</v>
      </c>
      <c r="Z26" s="1451"/>
      <c r="AA26" s="1452"/>
      <c r="AB26" s="1452"/>
      <c r="AC26" s="1452"/>
      <c r="AD26" s="1452"/>
      <c r="AE26" s="1452"/>
      <c r="AF26" s="1455" t="s">
        <v>569</v>
      </c>
      <c r="AG26" s="1446"/>
      <c r="AH26" s="1446"/>
      <c r="AI26" s="1446"/>
      <c r="AJ26" s="1447"/>
      <c r="AK26" s="1447"/>
      <c r="AL26" s="1447"/>
    </row>
    <row r="27" spans="1:38">
      <c r="A27" s="1492"/>
      <c r="B27" s="1496"/>
      <c r="C27" s="1497"/>
      <c r="D27" s="1497"/>
      <c r="E27" s="1497"/>
      <c r="F27" s="1497"/>
      <c r="G27" s="1497"/>
      <c r="H27" s="1497"/>
      <c r="I27" s="1497"/>
      <c r="J27" s="1497"/>
      <c r="K27" s="1498"/>
      <c r="L27" s="1532"/>
      <c r="M27" s="1532"/>
      <c r="N27" s="1532"/>
      <c r="O27" s="1532"/>
      <c r="P27" s="1532"/>
      <c r="Q27" s="1532"/>
      <c r="R27" s="1532"/>
      <c r="S27" s="1453"/>
      <c r="T27" s="1454"/>
      <c r="U27" s="1454"/>
      <c r="V27" s="1454"/>
      <c r="W27" s="1454"/>
      <c r="X27" s="1454"/>
      <c r="Y27" s="1456"/>
      <c r="Z27" s="1453"/>
      <c r="AA27" s="1454"/>
      <c r="AB27" s="1454"/>
      <c r="AC27" s="1454"/>
      <c r="AD27" s="1454"/>
      <c r="AE27" s="1454"/>
      <c r="AF27" s="1456"/>
      <c r="AG27" s="1446"/>
      <c r="AH27" s="1446"/>
      <c r="AI27" s="1446"/>
      <c r="AJ27" s="1447"/>
      <c r="AK27" s="1447"/>
      <c r="AL27" s="1447"/>
    </row>
    <row r="28" spans="1:38" ht="18.75" customHeight="1">
      <c r="A28" s="1491">
        <v>12</v>
      </c>
      <c r="B28" s="1493" t="s">
        <v>584</v>
      </c>
      <c r="C28" s="1494"/>
      <c r="D28" s="1494"/>
      <c r="E28" s="1494"/>
      <c r="F28" s="1494"/>
      <c r="G28" s="1494"/>
      <c r="H28" s="1494"/>
      <c r="I28" s="1494"/>
      <c r="J28" s="1494"/>
      <c r="K28" s="1495"/>
      <c r="L28" s="1532"/>
      <c r="M28" s="1532"/>
      <c r="N28" s="1532"/>
      <c r="O28" s="1532"/>
      <c r="P28" s="1532"/>
      <c r="Q28" s="1532"/>
      <c r="R28" s="1532"/>
      <c r="S28" s="1499"/>
      <c r="T28" s="1452"/>
      <c r="U28" s="1452"/>
      <c r="V28" s="1452"/>
      <c r="W28" s="1452"/>
      <c r="X28" s="1452"/>
      <c r="Y28" s="1455" t="s">
        <v>569</v>
      </c>
      <c r="Z28" s="1451"/>
      <c r="AA28" s="1452"/>
      <c r="AB28" s="1452"/>
      <c r="AC28" s="1452"/>
      <c r="AD28" s="1452"/>
      <c r="AE28" s="1452"/>
      <c r="AF28" s="1455" t="s">
        <v>569</v>
      </c>
      <c r="AG28" s="1446"/>
      <c r="AH28" s="1446"/>
      <c r="AI28" s="1446"/>
      <c r="AJ28" s="1447"/>
      <c r="AK28" s="1447"/>
      <c r="AL28" s="1447"/>
    </row>
    <row r="29" spans="1:38">
      <c r="A29" s="1492"/>
      <c r="B29" s="1496"/>
      <c r="C29" s="1497"/>
      <c r="D29" s="1497"/>
      <c r="E29" s="1497"/>
      <c r="F29" s="1497"/>
      <c r="G29" s="1497"/>
      <c r="H29" s="1497"/>
      <c r="I29" s="1497"/>
      <c r="J29" s="1497"/>
      <c r="K29" s="1498"/>
      <c r="L29" s="1532"/>
      <c r="M29" s="1532"/>
      <c r="N29" s="1532"/>
      <c r="O29" s="1532"/>
      <c r="P29" s="1532"/>
      <c r="Q29" s="1532"/>
      <c r="R29" s="1532"/>
      <c r="S29" s="1453"/>
      <c r="T29" s="1454"/>
      <c r="U29" s="1454"/>
      <c r="V29" s="1454"/>
      <c r="W29" s="1454"/>
      <c r="X29" s="1454"/>
      <c r="Y29" s="1456"/>
      <c r="Z29" s="1453"/>
      <c r="AA29" s="1454"/>
      <c r="AB29" s="1454"/>
      <c r="AC29" s="1454"/>
      <c r="AD29" s="1454"/>
      <c r="AE29" s="1454"/>
      <c r="AF29" s="1456"/>
      <c r="AG29" s="1446"/>
      <c r="AH29" s="1446"/>
      <c r="AI29" s="1446"/>
      <c r="AJ29" s="1447"/>
      <c r="AK29" s="1447"/>
      <c r="AL29" s="1447"/>
    </row>
    <row r="30" spans="1:38" ht="18.75" customHeight="1">
      <c r="A30" s="1491">
        <v>13</v>
      </c>
      <c r="B30" s="1493"/>
      <c r="C30" s="1494"/>
      <c r="D30" s="1494"/>
      <c r="E30" s="1494"/>
      <c r="F30" s="1494"/>
      <c r="G30" s="1494"/>
      <c r="H30" s="1494"/>
      <c r="I30" s="1494"/>
      <c r="J30" s="1494"/>
      <c r="K30" s="1495"/>
      <c r="L30" s="1532"/>
      <c r="M30" s="1532"/>
      <c r="N30" s="1532"/>
      <c r="O30" s="1532"/>
      <c r="P30" s="1532"/>
      <c r="Q30" s="1532"/>
      <c r="R30" s="1532"/>
      <c r="S30" s="1451"/>
      <c r="T30" s="1452"/>
      <c r="U30" s="1452"/>
      <c r="V30" s="1452"/>
      <c r="W30" s="1452"/>
      <c r="X30" s="1452"/>
      <c r="Y30" s="1455" t="s">
        <v>569</v>
      </c>
      <c r="Z30" s="1451"/>
      <c r="AA30" s="1452"/>
      <c r="AB30" s="1452"/>
      <c r="AC30" s="1452"/>
      <c r="AD30" s="1452"/>
      <c r="AE30" s="1452"/>
      <c r="AF30" s="1455" t="s">
        <v>569</v>
      </c>
      <c r="AG30" s="1446"/>
      <c r="AH30" s="1446"/>
      <c r="AI30" s="1446"/>
      <c r="AJ30" s="1447"/>
      <c r="AK30" s="1447"/>
      <c r="AL30" s="1447"/>
    </row>
    <row r="31" spans="1:38">
      <c r="A31" s="1492"/>
      <c r="B31" s="1496"/>
      <c r="C31" s="1497"/>
      <c r="D31" s="1497"/>
      <c r="E31" s="1497"/>
      <c r="F31" s="1497"/>
      <c r="G31" s="1497"/>
      <c r="H31" s="1497"/>
      <c r="I31" s="1497"/>
      <c r="J31" s="1497"/>
      <c r="K31" s="1498"/>
      <c r="L31" s="1532"/>
      <c r="M31" s="1532"/>
      <c r="N31" s="1532"/>
      <c r="O31" s="1532"/>
      <c r="P31" s="1532"/>
      <c r="Q31" s="1532"/>
      <c r="R31" s="1532"/>
      <c r="S31" s="1453"/>
      <c r="T31" s="1454"/>
      <c r="U31" s="1454"/>
      <c r="V31" s="1454"/>
      <c r="W31" s="1454"/>
      <c r="X31" s="1454"/>
      <c r="Y31" s="1456"/>
      <c r="Z31" s="1453"/>
      <c r="AA31" s="1454"/>
      <c r="AB31" s="1454"/>
      <c r="AC31" s="1454"/>
      <c r="AD31" s="1454"/>
      <c r="AE31" s="1454"/>
      <c r="AF31" s="1456"/>
      <c r="AG31" s="1446"/>
      <c r="AH31" s="1446"/>
      <c r="AI31" s="1446"/>
      <c r="AJ31" s="1447"/>
      <c r="AK31" s="1447"/>
      <c r="AL31" s="1447"/>
    </row>
    <row r="32" spans="1:38">
      <c r="A32" s="1491">
        <v>14</v>
      </c>
      <c r="B32" s="1506"/>
      <c r="C32" s="1494"/>
      <c r="D32" s="1494"/>
      <c r="E32" s="1494"/>
      <c r="F32" s="1494"/>
      <c r="G32" s="1494"/>
      <c r="H32" s="1494"/>
      <c r="I32" s="1494"/>
      <c r="J32" s="1494"/>
      <c r="K32" s="1495"/>
      <c r="L32" s="1532"/>
      <c r="M32" s="1532"/>
      <c r="N32" s="1532"/>
      <c r="O32" s="1532"/>
      <c r="P32" s="1532"/>
      <c r="Q32" s="1532"/>
      <c r="R32" s="1532"/>
      <c r="S32" s="1451"/>
      <c r="T32" s="1452"/>
      <c r="U32" s="1452"/>
      <c r="V32" s="1452"/>
      <c r="W32" s="1452"/>
      <c r="X32" s="1452"/>
      <c r="Y32" s="1455" t="s">
        <v>569</v>
      </c>
      <c r="Z32" s="1451"/>
      <c r="AA32" s="1452"/>
      <c r="AB32" s="1452"/>
      <c r="AC32" s="1452"/>
      <c r="AD32" s="1452"/>
      <c r="AE32" s="1452"/>
      <c r="AF32" s="1455" t="s">
        <v>569</v>
      </c>
      <c r="AG32" s="1446"/>
      <c r="AH32" s="1446"/>
      <c r="AI32" s="1446"/>
      <c r="AJ32" s="1447"/>
      <c r="AK32" s="1447"/>
      <c r="AL32" s="1447"/>
    </row>
    <row r="33" spans="1:38" ht="14.25" thickBot="1">
      <c r="A33" s="1492"/>
      <c r="B33" s="1533"/>
      <c r="C33" s="1534"/>
      <c r="D33" s="1534"/>
      <c r="E33" s="1534"/>
      <c r="F33" s="1534"/>
      <c r="G33" s="1534"/>
      <c r="H33" s="1534"/>
      <c r="I33" s="1534"/>
      <c r="J33" s="1534"/>
      <c r="K33" s="1535"/>
      <c r="L33" s="1536"/>
      <c r="M33" s="1536"/>
      <c r="N33" s="1536"/>
      <c r="O33" s="1536"/>
      <c r="P33" s="1536"/>
      <c r="Q33" s="1536"/>
      <c r="R33" s="1536"/>
      <c r="S33" s="1537"/>
      <c r="T33" s="1538"/>
      <c r="U33" s="1538"/>
      <c r="V33" s="1538"/>
      <c r="W33" s="1538"/>
      <c r="X33" s="1538"/>
      <c r="Y33" s="1531"/>
      <c r="Z33" s="1537"/>
      <c r="AA33" s="1538"/>
      <c r="AB33" s="1538"/>
      <c r="AC33" s="1538"/>
      <c r="AD33" s="1538"/>
      <c r="AE33" s="1538"/>
      <c r="AF33" s="1531"/>
      <c r="AG33" s="1446"/>
      <c r="AH33" s="1446"/>
      <c r="AI33" s="1446"/>
      <c r="AJ33" s="1447"/>
      <c r="AK33" s="1447"/>
      <c r="AL33" s="1447"/>
    </row>
    <row r="34" spans="1:38" ht="14.25" thickTop="1">
      <c r="A34" s="1515" t="s">
        <v>585</v>
      </c>
      <c r="B34" s="1516"/>
      <c r="C34" s="1516"/>
      <c r="D34" s="1516"/>
      <c r="E34" s="1516"/>
      <c r="F34" s="1516"/>
      <c r="G34" s="1516"/>
      <c r="H34" s="1516"/>
      <c r="I34" s="1516"/>
      <c r="J34" s="1516"/>
      <c r="K34" s="1517"/>
      <c r="L34" s="1521"/>
      <c r="M34" s="1522"/>
      <c r="N34" s="1522"/>
      <c r="O34" s="1522"/>
      <c r="P34" s="1522"/>
      <c r="Q34" s="1522"/>
      <c r="R34" s="1523"/>
      <c r="S34" s="1527">
        <f>SUM(S6:X33)</f>
        <v>0</v>
      </c>
      <c r="T34" s="1528"/>
      <c r="U34" s="1528"/>
      <c r="V34" s="1528"/>
      <c r="W34" s="1528"/>
      <c r="X34" s="1528"/>
      <c r="Y34" s="1482" t="s">
        <v>569</v>
      </c>
      <c r="Z34" s="1527"/>
      <c r="AA34" s="1528"/>
      <c r="AB34" s="1528"/>
      <c r="AC34" s="1528"/>
      <c r="AD34" s="1528"/>
      <c r="AE34" s="1528"/>
      <c r="AF34" s="1482" t="s">
        <v>569</v>
      </c>
      <c r="AG34" s="1446"/>
      <c r="AH34" s="1446"/>
      <c r="AI34" s="1446"/>
      <c r="AJ34" s="1447"/>
      <c r="AK34" s="1447"/>
      <c r="AL34" s="1447"/>
    </row>
    <row r="35" spans="1:38" ht="14.25" thickBot="1">
      <c r="A35" s="1518"/>
      <c r="B35" s="1519"/>
      <c r="C35" s="1519"/>
      <c r="D35" s="1519"/>
      <c r="E35" s="1519"/>
      <c r="F35" s="1519"/>
      <c r="G35" s="1519"/>
      <c r="H35" s="1519"/>
      <c r="I35" s="1519"/>
      <c r="J35" s="1519"/>
      <c r="K35" s="1520"/>
      <c r="L35" s="1524"/>
      <c r="M35" s="1525"/>
      <c r="N35" s="1525"/>
      <c r="O35" s="1525"/>
      <c r="P35" s="1525"/>
      <c r="Q35" s="1525"/>
      <c r="R35" s="1526"/>
      <c r="S35" s="1529"/>
      <c r="T35" s="1530"/>
      <c r="U35" s="1530"/>
      <c r="V35" s="1530"/>
      <c r="W35" s="1530"/>
      <c r="X35" s="1530"/>
      <c r="Y35" s="1531"/>
      <c r="Z35" s="1529"/>
      <c r="AA35" s="1530"/>
      <c r="AB35" s="1530"/>
      <c r="AC35" s="1530"/>
      <c r="AD35" s="1530"/>
      <c r="AE35" s="1530"/>
      <c r="AF35" s="1531"/>
      <c r="AG35" s="1446"/>
      <c r="AH35" s="1446"/>
      <c r="AI35" s="1446"/>
      <c r="AJ35" s="1447"/>
      <c r="AK35" s="1447"/>
      <c r="AL35" s="1447"/>
    </row>
    <row r="36" spans="1:38" ht="18.75" customHeight="1" thickTop="1">
      <c r="A36" s="1550" t="s">
        <v>586</v>
      </c>
      <c r="B36" s="1551"/>
      <c r="C36" s="1551"/>
      <c r="D36" s="1551"/>
      <c r="E36" s="1551"/>
      <c r="F36" s="1551"/>
      <c r="G36" s="1551"/>
      <c r="H36" s="1551"/>
      <c r="I36" s="1551"/>
      <c r="J36" s="1551"/>
      <c r="K36" s="1552"/>
      <c r="L36" s="1539"/>
      <c r="M36" s="1540"/>
      <c r="N36" s="1540"/>
      <c r="O36" s="1540"/>
      <c r="P36" s="1540"/>
      <c r="Q36" s="1540"/>
      <c r="R36" s="1541"/>
      <c r="S36" s="1480"/>
      <c r="T36" s="1481"/>
      <c r="U36" s="1481"/>
      <c r="V36" s="1481"/>
      <c r="W36" s="1481"/>
      <c r="X36" s="1481"/>
      <c r="Y36" s="1482" t="s">
        <v>569</v>
      </c>
      <c r="Z36" s="1480"/>
      <c r="AA36" s="1481"/>
      <c r="AB36" s="1481"/>
      <c r="AC36" s="1481"/>
      <c r="AD36" s="1481"/>
      <c r="AE36" s="1481"/>
      <c r="AF36" s="1482" t="s">
        <v>569</v>
      </c>
      <c r="AG36" s="1446"/>
      <c r="AH36" s="1446"/>
      <c r="AI36" s="1446"/>
      <c r="AJ36" s="1446"/>
      <c r="AK36" s="1446"/>
      <c r="AL36" s="1446"/>
    </row>
    <row r="37" spans="1:38">
      <c r="A37" s="1547"/>
      <c r="B37" s="1548"/>
      <c r="C37" s="1548"/>
      <c r="D37" s="1548"/>
      <c r="E37" s="1548"/>
      <c r="F37" s="1548"/>
      <c r="G37" s="1548"/>
      <c r="H37" s="1548"/>
      <c r="I37" s="1548"/>
      <c r="J37" s="1548"/>
      <c r="K37" s="1549"/>
      <c r="L37" s="1542"/>
      <c r="M37" s="1449"/>
      <c r="N37" s="1449"/>
      <c r="O37" s="1449"/>
      <c r="P37" s="1449"/>
      <c r="Q37" s="1449"/>
      <c r="R37" s="1543"/>
      <c r="S37" s="1453"/>
      <c r="T37" s="1454"/>
      <c r="U37" s="1454"/>
      <c r="V37" s="1454"/>
      <c r="W37" s="1454"/>
      <c r="X37" s="1454"/>
      <c r="Y37" s="1456"/>
      <c r="Z37" s="1453"/>
      <c r="AA37" s="1454"/>
      <c r="AB37" s="1454"/>
      <c r="AC37" s="1454"/>
      <c r="AD37" s="1454"/>
      <c r="AE37" s="1454"/>
      <c r="AF37" s="1456"/>
      <c r="AG37" s="1446"/>
      <c r="AH37" s="1446"/>
      <c r="AI37" s="1446"/>
      <c r="AJ37" s="1446"/>
      <c r="AK37" s="1446"/>
      <c r="AL37" s="1446"/>
    </row>
    <row r="38" spans="1:38">
      <c r="A38" s="1544" t="s">
        <v>587</v>
      </c>
      <c r="B38" s="1545"/>
      <c r="C38" s="1545"/>
      <c r="D38" s="1545"/>
      <c r="E38" s="1545"/>
      <c r="F38" s="1545"/>
      <c r="G38" s="1545"/>
      <c r="H38" s="1545"/>
      <c r="I38" s="1545"/>
      <c r="J38" s="1545"/>
      <c r="K38" s="1546"/>
      <c r="L38" s="1446"/>
      <c r="M38" s="1446"/>
      <c r="N38" s="1446"/>
      <c r="O38" s="1446"/>
      <c r="P38" s="1446"/>
      <c r="Q38" s="1446"/>
      <c r="R38" s="1446"/>
      <c r="S38" s="1451"/>
      <c r="T38" s="1452"/>
      <c r="U38" s="1452"/>
      <c r="V38" s="1452"/>
      <c r="W38" s="1452"/>
      <c r="X38" s="1452"/>
      <c r="Y38" s="1455" t="s">
        <v>569</v>
      </c>
      <c r="Z38" s="1451"/>
      <c r="AA38" s="1452"/>
      <c r="AB38" s="1452"/>
      <c r="AC38" s="1452"/>
      <c r="AD38" s="1452"/>
      <c r="AE38" s="1452"/>
      <c r="AF38" s="1455" t="s">
        <v>569</v>
      </c>
      <c r="AG38" s="1446"/>
      <c r="AH38" s="1446"/>
      <c r="AI38" s="1446"/>
      <c r="AJ38" s="1446"/>
      <c r="AK38" s="1446"/>
      <c r="AL38" s="1446"/>
    </row>
    <row r="39" spans="1:38">
      <c r="A39" s="1547"/>
      <c r="B39" s="1548"/>
      <c r="C39" s="1548"/>
      <c r="D39" s="1548"/>
      <c r="E39" s="1548"/>
      <c r="F39" s="1548"/>
      <c r="G39" s="1548"/>
      <c r="H39" s="1548"/>
      <c r="I39" s="1548"/>
      <c r="J39" s="1548"/>
      <c r="K39" s="1549"/>
      <c r="L39" s="1446"/>
      <c r="M39" s="1446"/>
      <c r="N39" s="1446"/>
      <c r="O39" s="1446"/>
      <c r="P39" s="1446"/>
      <c r="Q39" s="1446"/>
      <c r="R39" s="1446"/>
      <c r="S39" s="1453"/>
      <c r="T39" s="1454"/>
      <c r="U39" s="1454"/>
      <c r="V39" s="1454"/>
      <c r="W39" s="1454"/>
      <c r="X39" s="1454"/>
      <c r="Y39" s="1456"/>
      <c r="Z39" s="1453"/>
      <c r="AA39" s="1454"/>
      <c r="AB39" s="1454"/>
      <c r="AC39" s="1454"/>
      <c r="AD39" s="1454"/>
      <c r="AE39" s="1454"/>
      <c r="AF39" s="1456"/>
      <c r="AG39" s="1446"/>
      <c r="AH39" s="1446"/>
      <c r="AI39" s="1446"/>
      <c r="AJ39" s="1446"/>
      <c r="AK39" s="1446"/>
      <c r="AL39" s="1446"/>
    </row>
    <row r="40" spans="1:38">
      <c r="A40" s="1544" t="s">
        <v>588</v>
      </c>
      <c r="B40" s="1545"/>
      <c r="C40" s="1545"/>
      <c r="D40" s="1545"/>
      <c r="E40" s="1545"/>
      <c r="F40" s="1545"/>
      <c r="G40" s="1545"/>
      <c r="H40" s="1545"/>
      <c r="I40" s="1545"/>
      <c r="J40" s="1545"/>
      <c r="K40" s="1546"/>
      <c r="L40" s="1446"/>
      <c r="M40" s="1446"/>
      <c r="N40" s="1446"/>
      <c r="O40" s="1446"/>
      <c r="P40" s="1446"/>
      <c r="Q40" s="1446"/>
      <c r="R40" s="1446"/>
      <c r="S40" s="1451"/>
      <c r="T40" s="1452"/>
      <c r="U40" s="1452"/>
      <c r="V40" s="1452"/>
      <c r="W40" s="1452"/>
      <c r="X40" s="1452"/>
      <c r="Y40" s="1455" t="s">
        <v>569</v>
      </c>
      <c r="Z40" s="1451"/>
      <c r="AA40" s="1452"/>
      <c r="AB40" s="1452"/>
      <c r="AC40" s="1452"/>
      <c r="AD40" s="1452"/>
      <c r="AE40" s="1452"/>
      <c r="AF40" s="1455" t="s">
        <v>569</v>
      </c>
      <c r="AG40" s="1446"/>
      <c r="AH40" s="1446"/>
      <c r="AI40" s="1446"/>
      <c r="AJ40" s="1446"/>
      <c r="AK40" s="1446"/>
      <c r="AL40" s="1446"/>
    </row>
    <row r="41" spans="1:38">
      <c r="A41" s="1547"/>
      <c r="B41" s="1548"/>
      <c r="C41" s="1548"/>
      <c r="D41" s="1548"/>
      <c r="E41" s="1548"/>
      <c r="F41" s="1548"/>
      <c r="G41" s="1548"/>
      <c r="H41" s="1548"/>
      <c r="I41" s="1548"/>
      <c r="J41" s="1548"/>
      <c r="K41" s="1549"/>
      <c r="L41" s="1446"/>
      <c r="M41" s="1446"/>
      <c r="N41" s="1446"/>
      <c r="O41" s="1446"/>
      <c r="P41" s="1446"/>
      <c r="Q41" s="1446"/>
      <c r="R41" s="1446"/>
      <c r="S41" s="1453"/>
      <c r="T41" s="1454"/>
      <c r="U41" s="1454"/>
      <c r="V41" s="1454"/>
      <c r="W41" s="1454"/>
      <c r="X41" s="1454"/>
      <c r="Y41" s="1456"/>
      <c r="Z41" s="1453"/>
      <c r="AA41" s="1454"/>
      <c r="AB41" s="1454"/>
      <c r="AC41" s="1454"/>
      <c r="AD41" s="1454"/>
      <c r="AE41" s="1454"/>
      <c r="AF41" s="1456"/>
      <c r="AG41" s="1446"/>
      <c r="AH41" s="1446"/>
      <c r="AI41" s="1446"/>
      <c r="AJ41" s="1446"/>
      <c r="AK41" s="1446"/>
      <c r="AL41" s="1446"/>
    </row>
    <row r="42" spans="1:38">
      <c r="A42" s="1544" t="s">
        <v>589</v>
      </c>
      <c r="B42" s="1545"/>
      <c r="C42" s="1545"/>
      <c r="D42" s="1545"/>
      <c r="E42" s="1545"/>
      <c r="F42" s="1545"/>
      <c r="G42" s="1545"/>
      <c r="H42" s="1545"/>
      <c r="I42" s="1545"/>
      <c r="J42" s="1545"/>
      <c r="K42" s="1546"/>
      <c r="L42" s="1446"/>
      <c r="M42" s="1446"/>
      <c r="N42" s="1446"/>
      <c r="O42" s="1446"/>
      <c r="P42" s="1446"/>
      <c r="Q42" s="1446"/>
      <c r="R42" s="1446"/>
      <c r="S42" s="1451"/>
      <c r="T42" s="1452"/>
      <c r="U42" s="1452"/>
      <c r="V42" s="1452"/>
      <c r="W42" s="1452"/>
      <c r="X42" s="1452"/>
      <c r="Y42" s="1455" t="s">
        <v>569</v>
      </c>
      <c r="Z42" s="1451"/>
      <c r="AA42" s="1452"/>
      <c r="AB42" s="1452"/>
      <c r="AC42" s="1452"/>
      <c r="AD42" s="1452"/>
      <c r="AE42" s="1452"/>
      <c r="AF42" s="1455" t="s">
        <v>569</v>
      </c>
      <c r="AG42" s="1446"/>
      <c r="AH42" s="1446"/>
      <c r="AI42" s="1446"/>
      <c r="AJ42" s="1446"/>
      <c r="AK42" s="1446"/>
      <c r="AL42" s="1446"/>
    </row>
    <row r="43" spans="1:38">
      <c r="A43" s="1547"/>
      <c r="B43" s="1548"/>
      <c r="C43" s="1548"/>
      <c r="D43" s="1548"/>
      <c r="E43" s="1548"/>
      <c r="F43" s="1548"/>
      <c r="G43" s="1548"/>
      <c r="H43" s="1548"/>
      <c r="I43" s="1548"/>
      <c r="J43" s="1548"/>
      <c r="K43" s="1549"/>
      <c r="L43" s="1446"/>
      <c r="M43" s="1446"/>
      <c r="N43" s="1446"/>
      <c r="O43" s="1446"/>
      <c r="P43" s="1446"/>
      <c r="Q43" s="1446"/>
      <c r="R43" s="1446"/>
      <c r="S43" s="1453"/>
      <c r="T43" s="1454"/>
      <c r="U43" s="1454"/>
      <c r="V43" s="1454"/>
      <c r="W43" s="1454"/>
      <c r="X43" s="1454"/>
      <c r="Y43" s="1456"/>
      <c r="Z43" s="1453"/>
      <c r="AA43" s="1454"/>
      <c r="AB43" s="1454"/>
      <c r="AC43" s="1454"/>
      <c r="AD43" s="1454"/>
      <c r="AE43" s="1454"/>
      <c r="AF43" s="1456"/>
      <c r="AG43" s="1446"/>
      <c r="AH43" s="1446"/>
      <c r="AI43" s="1446"/>
      <c r="AJ43" s="1446"/>
      <c r="AK43" s="1446"/>
      <c r="AL43" s="1446"/>
    </row>
    <row r="44" spans="1:38">
      <c r="A44" s="1544" t="s">
        <v>590</v>
      </c>
      <c r="B44" s="1545"/>
      <c r="C44" s="1545"/>
      <c r="D44" s="1545"/>
      <c r="E44" s="1545"/>
      <c r="F44" s="1545"/>
      <c r="G44" s="1545"/>
      <c r="H44" s="1545"/>
      <c r="I44" s="1545"/>
      <c r="J44" s="1545"/>
      <c r="K44" s="1546"/>
      <c r="L44" s="1446"/>
      <c r="M44" s="1446"/>
      <c r="N44" s="1446"/>
      <c r="O44" s="1446"/>
      <c r="P44" s="1446"/>
      <c r="Q44" s="1446"/>
      <c r="R44" s="1446"/>
      <c r="S44" s="1451"/>
      <c r="T44" s="1452"/>
      <c r="U44" s="1452"/>
      <c r="V44" s="1452"/>
      <c r="W44" s="1452"/>
      <c r="X44" s="1452"/>
      <c r="Y44" s="1455" t="s">
        <v>569</v>
      </c>
      <c r="Z44" s="1451"/>
      <c r="AA44" s="1452"/>
      <c r="AB44" s="1452"/>
      <c r="AC44" s="1452"/>
      <c r="AD44" s="1452"/>
      <c r="AE44" s="1452"/>
      <c r="AF44" s="1455" t="s">
        <v>569</v>
      </c>
      <c r="AG44" s="1446"/>
      <c r="AH44" s="1446"/>
      <c r="AI44" s="1446"/>
      <c r="AJ44" s="1446"/>
      <c r="AK44" s="1446"/>
      <c r="AL44" s="1446"/>
    </row>
    <row r="45" spans="1:38">
      <c r="A45" s="1547"/>
      <c r="B45" s="1548"/>
      <c r="C45" s="1548"/>
      <c r="D45" s="1548"/>
      <c r="E45" s="1548"/>
      <c r="F45" s="1548"/>
      <c r="G45" s="1548"/>
      <c r="H45" s="1548"/>
      <c r="I45" s="1548"/>
      <c r="J45" s="1548"/>
      <c r="K45" s="1549"/>
      <c r="L45" s="1446"/>
      <c r="M45" s="1446"/>
      <c r="N45" s="1446"/>
      <c r="O45" s="1446"/>
      <c r="P45" s="1446"/>
      <c r="Q45" s="1446"/>
      <c r="R45" s="1446"/>
      <c r="S45" s="1453"/>
      <c r="T45" s="1454"/>
      <c r="U45" s="1454"/>
      <c r="V45" s="1454"/>
      <c r="W45" s="1454"/>
      <c r="X45" s="1454"/>
      <c r="Y45" s="1456"/>
      <c r="Z45" s="1453"/>
      <c r="AA45" s="1454"/>
      <c r="AB45" s="1454"/>
      <c r="AC45" s="1454"/>
      <c r="AD45" s="1454"/>
      <c r="AE45" s="1454"/>
      <c r="AF45" s="1456"/>
      <c r="AG45" s="1446"/>
      <c r="AH45" s="1446"/>
      <c r="AI45" s="1446"/>
      <c r="AJ45" s="1446"/>
      <c r="AK45" s="1446"/>
      <c r="AL45" s="1446"/>
    </row>
    <row r="46" spans="1:38">
      <c r="A46" s="1544" t="s">
        <v>591</v>
      </c>
      <c r="B46" s="1545"/>
      <c r="C46" s="1545"/>
      <c r="D46" s="1545"/>
      <c r="E46" s="1545"/>
      <c r="F46" s="1545"/>
      <c r="G46" s="1545"/>
      <c r="H46" s="1545"/>
      <c r="I46" s="1545"/>
      <c r="J46" s="1545"/>
      <c r="K46" s="1546"/>
      <c r="L46" s="1446"/>
      <c r="M46" s="1446"/>
      <c r="N46" s="1446"/>
      <c r="O46" s="1446"/>
      <c r="P46" s="1446"/>
      <c r="Q46" s="1446"/>
      <c r="R46" s="1446"/>
      <c r="S46" s="1451">
        <f>SUM(S34:X45)</f>
        <v>0</v>
      </c>
      <c r="T46" s="1452"/>
      <c r="U46" s="1452"/>
      <c r="V46" s="1452"/>
      <c r="W46" s="1452"/>
      <c r="X46" s="1452"/>
      <c r="Y46" s="1455" t="s">
        <v>569</v>
      </c>
      <c r="Z46" s="1451"/>
      <c r="AA46" s="1452"/>
      <c r="AB46" s="1452"/>
      <c r="AC46" s="1452"/>
      <c r="AD46" s="1452"/>
      <c r="AE46" s="1452"/>
      <c r="AF46" s="1455" t="s">
        <v>569</v>
      </c>
      <c r="AG46" s="1446"/>
      <c r="AH46" s="1446"/>
      <c r="AI46" s="1446"/>
      <c r="AJ46" s="1447"/>
      <c r="AK46" s="1447"/>
      <c r="AL46" s="1447"/>
    </row>
    <row r="47" spans="1:38">
      <c r="A47" s="1547"/>
      <c r="B47" s="1548"/>
      <c r="C47" s="1548"/>
      <c r="D47" s="1548"/>
      <c r="E47" s="1548"/>
      <c r="F47" s="1548"/>
      <c r="G47" s="1548"/>
      <c r="H47" s="1548"/>
      <c r="I47" s="1548"/>
      <c r="J47" s="1548"/>
      <c r="K47" s="1549"/>
      <c r="L47" s="1446"/>
      <c r="M47" s="1446"/>
      <c r="N47" s="1446"/>
      <c r="O47" s="1446"/>
      <c r="P47" s="1446"/>
      <c r="Q47" s="1446"/>
      <c r="R47" s="1446"/>
      <c r="S47" s="1453"/>
      <c r="T47" s="1454"/>
      <c r="U47" s="1454"/>
      <c r="V47" s="1454"/>
      <c r="W47" s="1454"/>
      <c r="X47" s="1454"/>
      <c r="Y47" s="1456"/>
      <c r="Z47" s="1453"/>
      <c r="AA47" s="1454"/>
      <c r="AB47" s="1454"/>
      <c r="AC47" s="1454"/>
      <c r="AD47" s="1454"/>
      <c r="AE47" s="1454"/>
      <c r="AF47" s="1456"/>
      <c r="AG47" s="1446"/>
      <c r="AH47" s="1446"/>
      <c r="AI47" s="1446"/>
      <c r="AJ47" s="1447"/>
      <c r="AK47" s="1447"/>
      <c r="AL47" s="1447"/>
    </row>
    <row r="48" spans="1:38" ht="14.25" thickBot="1"/>
    <row r="49" spans="1:38" ht="49.5" customHeight="1" thickBot="1">
      <c r="A49" s="1487" t="s">
        <v>592</v>
      </c>
      <c r="B49" s="1488"/>
      <c r="C49" s="1488"/>
      <c r="D49" s="1488"/>
      <c r="E49" s="1489"/>
      <c r="F49" s="1477">
        <f ca="1">TODAY()</f>
        <v>45772</v>
      </c>
      <c r="G49" s="1478"/>
      <c r="H49" s="1478"/>
      <c r="I49" s="1478"/>
      <c r="J49" s="1478"/>
      <c r="K49" s="1478"/>
      <c r="L49" s="1478"/>
      <c r="M49" s="1478"/>
      <c r="N49" s="1478"/>
      <c r="O49" s="1478"/>
      <c r="P49" s="1479"/>
      <c r="R49" s="1474" t="s">
        <v>593</v>
      </c>
      <c r="S49" s="1475"/>
      <c r="T49" s="1475"/>
      <c r="U49" s="1475"/>
      <c r="V49" s="1475"/>
      <c r="W49" s="1475"/>
      <c r="X49" s="1476"/>
      <c r="Y49" s="1474" t="s">
        <v>594</v>
      </c>
      <c r="Z49" s="1475"/>
      <c r="AA49" s="1475"/>
      <c r="AB49" s="1475"/>
      <c r="AC49" s="1475"/>
      <c r="AD49" s="1475"/>
      <c r="AE49" s="1475"/>
      <c r="AF49" s="1476"/>
      <c r="AG49" s="1483" t="s">
        <v>595</v>
      </c>
      <c r="AH49" s="1484"/>
      <c r="AI49" s="1485"/>
      <c r="AJ49" s="1486" t="s">
        <v>596</v>
      </c>
      <c r="AK49" s="1484"/>
      <c r="AL49" s="1485"/>
    </row>
    <row r="50" spans="1:38" ht="18.75" customHeight="1" thickBot="1">
      <c r="R50" s="1448" t="s">
        <v>597</v>
      </c>
      <c r="S50" s="1449"/>
      <c r="T50" s="1449"/>
      <c r="U50" s="1449"/>
      <c r="V50" s="1449"/>
      <c r="W50" s="1449"/>
      <c r="X50" s="1450"/>
      <c r="Y50" s="1448" t="s">
        <v>586</v>
      </c>
      <c r="Z50" s="1449"/>
      <c r="AA50" s="1449"/>
      <c r="AB50" s="1449"/>
      <c r="AC50" s="1449"/>
      <c r="AD50" s="1449"/>
      <c r="AE50" s="1450"/>
      <c r="AF50" s="1448" t="s">
        <v>598</v>
      </c>
      <c r="AG50" s="1449"/>
      <c r="AH50" s="1449"/>
      <c r="AI50" s="1449"/>
      <c r="AJ50" s="1449"/>
      <c r="AK50" s="1449"/>
      <c r="AL50" s="1450"/>
    </row>
    <row r="51" spans="1:38" ht="24.75" customHeight="1">
      <c r="A51" s="1457">
        <f>入力シート!G8</f>
        <v>0</v>
      </c>
      <c r="B51" s="1458"/>
      <c r="C51" s="1458"/>
      <c r="D51" s="1458"/>
      <c r="E51" s="1458"/>
      <c r="F51" s="1458"/>
      <c r="G51" s="1458"/>
      <c r="H51" s="1458"/>
      <c r="I51" s="1458"/>
      <c r="J51" s="1458"/>
      <c r="K51" s="1458"/>
      <c r="L51" s="1458"/>
      <c r="M51" s="1458"/>
      <c r="N51" s="1459"/>
      <c r="R51" s="1437">
        <f>SUM(S36:X45)</f>
        <v>0</v>
      </c>
      <c r="S51" s="1438"/>
      <c r="T51" s="1438"/>
      <c r="U51" s="1438"/>
      <c r="V51" s="1438"/>
      <c r="W51" s="1438"/>
      <c r="X51" s="1439"/>
      <c r="Y51" s="1437"/>
      <c r="Z51" s="1438"/>
      <c r="AA51" s="1438"/>
      <c r="AB51" s="1438"/>
      <c r="AC51" s="1438"/>
      <c r="AD51" s="1438"/>
      <c r="AE51" s="1439"/>
      <c r="AF51" s="1437"/>
      <c r="AG51" s="1438"/>
      <c r="AH51" s="1438"/>
      <c r="AI51" s="1438"/>
      <c r="AJ51" s="1438"/>
      <c r="AK51" s="1438"/>
      <c r="AL51" s="1439"/>
    </row>
    <row r="52" spans="1:38" ht="18.75" customHeight="1" thickBot="1">
      <c r="A52" s="1460"/>
      <c r="B52" s="1461"/>
      <c r="C52" s="1461"/>
      <c r="D52" s="1461"/>
      <c r="E52" s="1461"/>
      <c r="F52" s="1461"/>
      <c r="G52" s="1461"/>
      <c r="H52" s="1461"/>
      <c r="I52" s="1461"/>
      <c r="J52" s="1461"/>
      <c r="K52" s="1461"/>
      <c r="L52" s="1461"/>
      <c r="M52" s="1461"/>
      <c r="N52" s="1462"/>
      <c r="R52" s="1440" t="s">
        <v>599</v>
      </c>
      <c r="S52" s="1441"/>
      <c r="T52" s="1441"/>
      <c r="U52" s="1441"/>
      <c r="V52" s="1441"/>
      <c r="W52" s="1441"/>
      <c r="X52" s="1442"/>
      <c r="Y52" s="1440" t="s">
        <v>600</v>
      </c>
      <c r="Z52" s="1441"/>
      <c r="AA52" s="1441"/>
      <c r="AB52" s="1441"/>
      <c r="AC52" s="1441"/>
      <c r="AD52" s="1441"/>
      <c r="AE52" s="1442"/>
      <c r="AF52" s="1440" t="s">
        <v>601</v>
      </c>
      <c r="AG52" s="1441"/>
      <c r="AH52" s="1441"/>
      <c r="AI52" s="1441"/>
      <c r="AJ52" s="1441"/>
      <c r="AK52" s="1441"/>
      <c r="AL52" s="1442"/>
    </row>
    <row r="53" spans="1:38" ht="24.75" customHeight="1">
      <c r="A53" s="1460"/>
      <c r="B53" s="1461"/>
      <c r="C53" s="1461"/>
      <c r="D53" s="1461"/>
      <c r="E53" s="1461"/>
      <c r="F53" s="1461"/>
      <c r="G53" s="1461"/>
      <c r="H53" s="1461"/>
      <c r="I53" s="1461"/>
      <c r="J53" s="1461"/>
      <c r="K53" s="1461"/>
      <c r="L53" s="1461"/>
      <c r="M53" s="1461"/>
      <c r="N53" s="1462"/>
      <c r="O53" s="1466" t="s">
        <v>602</v>
      </c>
      <c r="P53" s="1467"/>
      <c r="R53" s="1437">
        <f>SUM(S36:X39)</f>
        <v>0</v>
      </c>
      <c r="S53" s="1438"/>
      <c r="T53" s="1438"/>
      <c r="U53" s="1438"/>
      <c r="V53" s="1438"/>
      <c r="W53" s="1438"/>
      <c r="X53" s="1439"/>
      <c r="Y53" s="1437"/>
      <c r="Z53" s="1438"/>
      <c r="AA53" s="1438"/>
      <c r="AB53" s="1438"/>
      <c r="AC53" s="1438"/>
      <c r="AD53" s="1438"/>
      <c r="AE53" s="1439"/>
      <c r="AF53" s="1437"/>
      <c r="AG53" s="1438"/>
      <c r="AH53" s="1438"/>
      <c r="AI53" s="1438"/>
      <c r="AJ53" s="1438"/>
      <c r="AK53" s="1438"/>
      <c r="AL53" s="1439"/>
    </row>
    <row r="54" spans="1:38" ht="18.75" customHeight="1">
      <c r="A54" s="1460"/>
      <c r="B54" s="1461"/>
      <c r="C54" s="1461"/>
      <c r="D54" s="1461"/>
      <c r="E54" s="1461"/>
      <c r="F54" s="1461"/>
      <c r="G54" s="1461"/>
      <c r="H54" s="1461"/>
      <c r="I54" s="1461"/>
      <c r="J54" s="1461"/>
      <c r="K54" s="1461"/>
      <c r="L54" s="1461"/>
      <c r="M54" s="1461"/>
      <c r="N54" s="1462"/>
      <c r="O54" s="1468"/>
      <c r="P54" s="1469"/>
      <c r="R54" s="1440" t="s">
        <v>600</v>
      </c>
      <c r="S54" s="1441"/>
      <c r="T54" s="1441"/>
      <c r="U54" s="1441"/>
      <c r="V54" s="1441"/>
      <c r="W54" s="1441"/>
      <c r="X54" s="1442"/>
      <c r="Y54" s="1440" t="s">
        <v>603</v>
      </c>
      <c r="Z54" s="1441"/>
      <c r="AA54" s="1441"/>
      <c r="AB54" s="1441"/>
      <c r="AC54" s="1441"/>
      <c r="AD54" s="1441"/>
      <c r="AE54" s="1442"/>
      <c r="AF54" s="1440" t="s">
        <v>604</v>
      </c>
      <c r="AG54" s="1441"/>
      <c r="AH54" s="1441"/>
      <c r="AI54" s="1441"/>
      <c r="AJ54" s="1441"/>
      <c r="AK54" s="1441"/>
      <c r="AL54" s="1442"/>
    </row>
    <row r="55" spans="1:38" ht="24.75" customHeight="1" thickBot="1">
      <c r="A55" s="1463"/>
      <c r="B55" s="1464"/>
      <c r="C55" s="1464"/>
      <c r="D55" s="1464"/>
      <c r="E55" s="1464"/>
      <c r="F55" s="1464"/>
      <c r="G55" s="1464"/>
      <c r="H55" s="1464"/>
      <c r="I55" s="1464"/>
      <c r="J55" s="1464"/>
      <c r="K55" s="1464"/>
      <c r="L55" s="1464"/>
      <c r="M55" s="1464"/>
      <c r="N55" s="1465"/>
      <c r="O55" s="1470"/>
      <c r="P55" s="1471"/>
      <c r="R55" s="1443">
        <f>SUM(S34+S38+S40+S42+S44+V48)</f>
        <v>0</v>
      </c>
      <c r="S55" s="1444"/>
      <c r="T55" s="1444"/>
      <c r="U55" s="1444"/>
      <c r="V55" s="1444"/>
      <c r="W55" s="1444"/>
      <c r="X55" s="1445"/>
      <c r="Y55" s="1443"/>
      <c r="Z55" s="1444"/>
      <c r="AA55" s="1444"/>
      <c r="AB55" s="1444"/>
      <c r="AC55" s="1444"/>
      <c r="AD55" s="1444"/>
      <c r="AE55" s="1445"/>
      <c r="AF55" s="1443"/>
      <c r="AG55" s="1444"/>
      <c r="AH55" s="1444"/>
      <c r="AI55" s="1444"/>
      <c r="AJ55" s="1444"/>
      <c r="AK55" s="1444"/>
      <c r="AL55" s="1445"/>
    </row>
  </sheetData>
  <mergeCells count="219">
    <mergeCell ref="AG4:AI5"/>
    <mergeCell ref="AF6:AF7"/>
    <mergeCell ref="AG6:AI7"/>
    <mergeCell ref="A6:A7"/>
    <mergeCell ref="B6:K7"/>
    <mergeCell ref="L6:R7"/>
    <mergeCell ref="S6:X7"/>
    <mergeCell ref="Y6:Y7"/>
    <mergeCell ref="Z6:AE7"/>
    <mergeCell ref="A4:K5"/>
    <mergeCell ref="L4:R5"/>
    <mergeCell ref="S4:Y5"/>
    <mergeCell ref="Z4:AF5"/>
    <mergeCell ref="A12:A13"/>
    <mergeCell ref="A10:A11"/>
    <mergeCell ref="B10:K11"/>
    <mergeCell ref="L10:N11"/>
    <mergeCell ref="O10:O11"/>
    <mergeCell ref="P10:R11"/>
    <mergeCell ref="S10:X11"/>
    <mergeCell ref="Y10:Y11"/>
    <mergeCell ref="Z10:AE11"/>
    <mergeCell ref="A8:A9"/>
    <mergeCell ref="B8:K9"/>
    <mergeCell ref="L8:R9"/>
    <mergeCell ref="S8:X9"/>
    <mergeCell ref="Y8:Y9"/>
    <mergeCell ref="Z8:AE9"/>
    <mergeCell ref="AF10:AF11"/>
    <mergeCell ref="AG10:AI11"/>
    <mergeCell ref="A20:A21"/>
    <mergeCell ref="B20:K21"/>
    <mergeCell ref="L20:R21"/>
    <mergeCell ref="S20:X21"/>
    <mergeCell ref="Y20:Y21"/>
    <mergeCell ref="Z20:AE21"/>
    <mergeCell ref="AF20:AF21"/>
    <mergeCell ref="AG20:AI21"/>
    <mergeCell ref="A18:A19"/>
    <mergeCell ref="B18:K19"/>
    <mergeCell ref="L18:R19"/>
    <mergeCell ref="S18:X19"/>
    <mergeCell ref="Y18:Y19"/>
    <mergeCell ref="Z18:AE19"/>
    <mergeCell ref="AF18:AF19"/>
    <mergeCell ref="L16:R17"/>
    <mergeCell ref="S16:X17"/>
    <mergeCell ref="Y16:Y17"/>
    <mergeCell ref="Z16:AE17"/>
    <mergeCell ref="AF16:AF17"/>
    <mergeCell ref="A16:A17"/>
    <mergeCell ref="B16:K17"/>
    <mergeCell ref="A22:A23"/>
    <mergeCell ref="B22:K23"/>
    <mergeCell ref="L22:R23"/>
    <mergeCell ref="S22:X23"/>
    <mergeCell ref="Y22:Y23"/>
    <mergeCell ref="Z22:AE23"/>
    <mergeCell ref="AF22:AF23"/>
    <mergeCell ref="A24:A25"/>
    <mergeCell ref="B24:K25"/>
    <mergeCell ref="L24:R25"/>
    <mergeCell ref="S24:X25"/>
    <mergeCell ref="Y24:Y25"/>
    <mergeCell ref="Z24:AE25"/>
    <mergeCell ref="AF24:AF25"/>
    <mergeCell ref="AG24:AI25"/>
    <mergeCell ref="AG26:AI27"/>
    <mergeCell ref="S30:X31"/>
    <mergeCell ref="Y30:Y31"/>
    <mergeCell ref="Z30:AE31"/>
    <mergeCell ref="AF30:AF31"/>
    <mergeCell ref="A28:A29"/>
    <mergeCell ref="B28:K29"/>
    <mergeCell ref="L28:R29"/>
    <mergeCell ref="S28:X29"/>
    <mergeCell ref="Y28:Y29"/>
    <mergeCell ref="Z28:AE29"/>
    <mergeCell ref="A46:K47"/>
    <mergeCell ref="L46:R47"/>
    <mergeCell ref="S46:X47"/>
    <mergeCell ref="Y46:Y47"/>
    <mergeCell ref="Z46:AE47"/>
    <mergeCell ref="AF46:AF47"/>
    <mergeCell ref="AG40:AI41"/>
    <mergeCell ref="A42:K43"/>
    <mergeCell ref="L42:R43"/>
    <mergeCell ref="S42:X43"/>
    <mergeCell ref="A40:K41"/>
    <mergeCell ref="L40:R41"/>
    <mergeCell ref="S40:X41"/>
    <mergeCell ref="Y40:Y41"/>
    <mergeCell ref="Z40:AE41"/>
    <mergeCell ref="AF40:AF41"/>
    <mergeCell ref="AG46:AI47"/>
    <mergeCell ref="A44:K45"/>
    <mergeCell ref="L44:R45"/>
    <mergeCell ref="S44:X45"/>
    <mergeCell ref="Y44:Y45"/>
    <mergeCell ref="Z38:AE39"/>
    <mergeCell ref="AF38:AF39"/>
    <mergeCell ref="AG38:AI39"/>
    <mergeCell ref="L36:R37"/>
    <mergeCell ref="A38:K39"/>
    <mergeCell ref="L38:R39"/>
    <mergeCell ref="S38:X39"/>
    <mergeCell ref="Y38:Y39"/>
    <mergeCell ref="Y36:Y37"/>
    <mergeCell ref="AG36:AI37"/>
    <mergeCell ref="A36:K37"/>
    <mergeCell ref="S36:X37"/>
    <mergeCell ref="A34:K35"/>
    <mergeCell ref="L34:R35"/>
    <mergeCell ref="S34:X35"/>
    <mergeCell ref="Y34:Y35"/>
    <mergeCell ref="Z34:AE35"/>
    <mergeCell ref="AF34:AF35"/>
    <mergeCell ref="A26:A27"/>
    <mergeCell ref="B26:K27"/>
    <mergeCell ref="L26:R27"/>
    <mergeCell ref="S26:X27"/>
    <mergeCell ref="Y26:Y27"/>
    <mergeCell ref="Z26:AE27"/>
    <mergeCell ref="AF26:AF27"/>
    <mergeCell ref="L30:R31"/>
    <mergeCell ref="A32:A33"/>
    <mergeCell ref="B32:K33"/>
    <mergeCell ref="L32:R33"/>
    <mergeCell ref="S32:X33"/>
    <mergeCell ref="A30:A31"/>
    <mergeCell ref="B30:K31"/>
    <mergeCell ref="AF28:AF29"/>
    <mergeCell ref="AF32:AF33"/>
    <mergeCell ref="Y32:Y33"/>
    <mergeCell ref="Z32:AE33"/>
    <mergeCell ref="AJ4:AL5"/>
    <mergeCell ref="AJ6:AL7"/>
    <mergeCell ref="AJ8:AL9"/>
    <mergeCell ref="AJ10:AL11"/>
    <mergeCell ref="AJ12:AL13"/>
    <mergeCell ref="A14:A15"/>
    <mergeCell ref="B14:K15"/>
    <mergeCell ref="S14:X15"/>
    <mergeCell ref="Y14:Y15"/>
    <mergeCell ref="Z14:AE15"/>
    <mergeCell ref="AF14:AF15"/>
    <mergeCell ref="L14:R15"/>
    <mergeCell ref="Y12:Y13"/>
    <mergeCell ref="Z12:AE13"/>
    <mergeCell ref="AF12:AF13"/>
    <mergeCell ref="AG12:AI13"/>
    <mergeCell ref="AJ14:AL15"/>
    <mergeCell ref="B12:K13"/>
    <mergeCell ref="L12:N13"/>
    <mergeCell ref="O12:O13"/>
    <mergeCell ref="P12:R13"/>
    <mergeCell ref="S12:X13"/>
    <mergeCell ref="AF8:AF9"/>
    <mergeCell ref="AG8:AI9"/>
    <mergeCell ref="AJ16:AL17"/>
    <mergeCell ref="AJ18:AL19"/>
    <mergeCell ref="AJ20:AL21"/>
    <mergeCell ref="AG14:AI15"/>
    <mergeCell ref="AJ42:AL43"/>
    <mergeCell ref="AJ22:AL23"/>
    <mergeCell ref="AJ24:AL25"/>
    <mergeCell ref="AJ26:AL27"/>
    <mergeCell ref="AJ28:AL29"/>
    <mergeCell ref="AG34:AI35"/>
    <mergeCell ref="AG28:AI29"/>
    <mergeCell ref="AG30:AI31"/>
    <mergeCell ref="AG32:AI33"/>
    <mergeCell ref="AG18:AI19"/>
    <mergeCell ref="AG16:AI17"/>
    <mergeCell ref="AG22:AI23"/>
    <mergeCell ref="A51:N55"/>
    <mergeCell ref="O53:P55"/>
    <mergeCell ref="A1:AL2"/>
    <mergeCell ref="R50:X50"/>
    <mergeCell ref="R51:X51"/>
    <mergeCell ref="R52:X52"/>
    <mergeCell ref="R49:X49"/>
    <mergeCell ref="F49:P49"/>
    <mergeCell ref="Y53:AE53"/>
    <mergeCell ref="Y54:AE54"/>
    <mergeCell ref="Z36:AE37"/>
    <mergeCell ref="AF36:AF37"/>
    <mergeCell ref="Y49:AF49"/>
    <mergeCell ref="AG49:AI49"/>
    <mergeCell ref="AJ49:AL49"/>
    <mergeCell ref="A49:E49"/>
    <mergeCell ref="AJ30:AL31"/>
    <mergeCell ref="AJ32:AL33"/>
    <mergeCell ref="AJ34:AL35"/>
    <mergeCell ref="AJ36:AL37"/>
    <mergeCell ref="AJ38:AL39"/>
    <mergeCell ref="Y42:Y43"/>
    <mergeCell ref="Z42:AE43"/>
    <mergeCell ref="AF42:AF43"/>
    <mergeCell ref="R53:X53"/>
    <mergeCell ref="R54:X54"/>
    <mergeCell ref="R55:X55"/>
    <mergeCell ref="AJ40:AL41"/>
    <mergeCell ref="Y55:AE55"/>
    <mergeCell ref="AF55:AL55"/>
    <mergeCell ref="AF54:AL54"/>
    <mergeCell ref="AF53:AL53"/>
    <mergeCell ref="AF52:AL52"/>
    <mergeCell ref="AF51:AL51"/>
    <mergeCell ref="AG42:AI43"/>
    <mergeCell ref="AJ44:AL45"/>
    <mergeCell ref="AJ46:AL47"/>
    <mergeCell ref="Y50:AE50"/>
    <mergeCell ref="AF50:AL50"/>
    <mergeCell ref="Y51:AE51"/>
    <mergeCell ref="Y52:AE52"/>
    <mergeCell ref="AG44:AI45"/>
    <mergeCell ref="Z44:AE45"/>
    <mergeCell ref="AF44:AF45"/>
  </mergeCells>
  <phoneticPr fontId="8"/>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Y30"/>
  <sheetViews>
    <sheetView workbookViewId="0">
      <selection activeCell="B41" sqref="B41:D41"/>
    </sheetView>
  </sheetViews>
  <sheetFormatPr defaultColWidth="9" defaultRowHeight="25.5"/>
  <cols>
    <col min="1" max="204" width="3.125" style="277" customWidth="1"/>
    <col min="205" max="16384" width="9" style="277"/>
  </cols>
  <sheetData>
    <row r="1" spans="1:25">
      <c r="A1" s="278" t="s">
        <v>605</v>
      </c>
      <c r="B1" s="278"/>
      <c r="C1" s="278"/>
      <c r="D1" s="278"/>
      <c r="E1" s="278"/>
      <c r="F1" s="278"/>
      <c r="G1" s="278"/>
      <c r="H1" s="278"/>
      <c r="I1" s="278"/>
      <c r="J1" s="278"/>
      <c r="K1" s="278"/>
      <c r="L1" s="278"/>
      <c r="M1" s="278"/>
      <c r="N1" s="278"/>
      <c r="O1" s="278"/>
      <c r="P1" s="278"/>
      <c r="Q1" s="278"/>
      <c r="R1" s="278"/>
      <c r="S1" s="278"/>
      <c r="T1" s="278"/>
      <c r="U1" s="278"/>
      <c r="V1" s="278"/>
      <c r="W1" s="278"/>
      <c r="X1" s="278"/>
      <c r="Y1" s="278"/>
    </row>
    <row r="3" spans="1:25">
      <c r="A3" s="1580"/>
      <c r="B3" s="1580"/>
      <c r="C3" s="1580"/>
      <c r="D3" s="1580" t="s">
        <v>606</v>
      </c>
      <c r="E3" s="1580"/>
      <c r="F3" s="1580"/>
      <c r="G3" s="1590" t="s">
        <v>607</v>
      </c>
      <c r="H3" s="1590"/>
      <c r="I3" s="1590"/>
      <c r="J3" s="1590"/>
      <c r="K3" s="1590"/>
      <c r="L3" s="1590"/>
      <c r="M3" s="591" t="s">
        <v>608</v>
      </c>
      <c r="N3" s="1590" t="s">
        <v>609</v>
      </c>
      <c r="O3" s="1590"/>
      <c r="P3" s="1590"/>
      <c r="Q3" s="1590"/>
      <c r="R3" s="1590"/>
      <c r="S3" s="1590"/>
      <c r="T3" s="1580" t="s">
        <v>610</v>
      </c>
      <c r="U3" s="1580"/>
      <c r="V3" s="1580"/>
      <c r="W3" s="1580"/>
      <c r="X3" s="1580"/>
      <c r="Y3" s="1580"/>
    </row>
    <row r="4" spans="1:25">
      <c r="A4" s="1580" t="str">
        <f>IF(G4="","",COUNT(G4)&amp;"回目")</f>
        <v/>
      </c>
      <c r="B4" s="1580"/>
      <c r="C4" s="1580"/>
      <c r="D4" s="1582" t="s">
        <v>586</v>
      </c>
      <c r="E4" s="1582"/>
      <c r="F4" s="1582"/>
      <c r="G4" s="1583" t="str">
        <f>印刷ページ!A28</f>
        <v/>
      </c>
      <c r="H4" s="1583"/>
      <c r="I4" s="1583"/>
      <c r="J4" s="1583"/>
      <c r="K4" s="1583"/>
      <c r="L4" s="1583"/>
      <c r="M4" s="1580" t="s">
        <v>608</v>
      </c>
      <c r="N4" s="1583" t="str">
        <f>IFERROR(印刷ページ!D33,"")</f>
        <v/>
      </c>
      <c r="O4" s="1583"/>
      <c r="P4" s="1583"/>
      <c r="Q4" s="1583"/>
      <c r="R4" s="1583"/>
      <c r="S4" s="1583"/>
      <c r="T4" s="1587" t="str">
        <f>IFERROR(印刷ページ!E28*10000,"")</f>
        <v/>
      </c>
      <c r="U4" s="1587"/>
      <c r="V4" s="1587"/>
      <c r="W4" s="1587"/>
      <c r="X4" s="1587"/>
      <c r="Y4" s="1587"/>
    </row>
    <row r="5" spans="1:25">
      <c r="A5" s="1580"/>
      <c r="B5" s="1580"/>
      <c r="C5" s="1580"/>
      <c r="D5" s="1582"/>
      <c r="E5" s="1582"/>
      <c r="F5" s="1582"/>
      <c r="G5" s="1583"/>
      <c r="H5" s="1583"/>
      <c r="I5" s="1583"/>
      <c r="J5" s="1583"/>
      <c r="K5" s="1583"/>
      <c r="L5" s="1583"/>
      <c r="M5" s="1580"/>
      <c r="N5" s="1583"/>
      <c r="O5" s="1583"/>
      <c r="P5" s="1583"/>
      <c r="Q5" s="1583"/>
      <c r="R5" s="1583"/>
      <c r="S5" s="1583"/>
      <c r="T5" s="1587"/>
      <c r="U5" s="1587"/>
      <c r="V5" s="1587"/>
      <c r="W5" s="1587"/>
      <c r="X5" s="1587"/>
      <c r="Y5" s="1587"/>
    </row>
    <row r="6" spans="1:25" ht="13.5" customHeight="1">
      <c r="A6" s="1580" t="str">
        <f>IF(G6="","",COUNT(G4:L7)&amp;"回目")</f>
        <v/>
      </c>
      <c r="B6" s="1580"/>
      <c r="C6" s="1580"/>
      <c r="D6" s="1582" t="s">
        <v>611</v>
      </c>
      <c r="E6" s="1582"/>
      <c r="F6" s="1582"/>
      <c r="G6" s="1583" t="str">
        <f>印刷ページ!A29</f>
        <v/>
      </c>
      <c r="H6" s="1583"/>
      <c r="I6" s="1583"/>
      <c r="J6" s="1583"/>
      <c r="K6" s="1583"/>
      <c r="L6" s="1583"/>
      <c r="M6" s="1580" t="s">
        <v>608</v>
      </c>
      <c r="N6" s="1584" t="str">
        <f>IFERROR(IF(G6,$N$4,"-"),"")</f>
        <v/>
      </c>
      <c r="O6" s="1584"/>
      <c r="P6" s="1584"/>
      <c r="Q6" s="1584"/>
      <c r="R6" s="1584"/>
      <c r="S6" s="1584"/>
      <c r="T6" s="1587" t="str">
        <f>IFERROR(印刷ページ!E29*10000,"")</f>
        <v/>
      </c>
      <c r="U6" s="1587"/>
      <c r="V6" s="1587"/>
      <c r="W6" s="1587"/>
      <c r="X6" s="1587"/>
      <c r="Y6" s="1587"/>
    </row>
    <row r="7" spans="1:25" ht="13.5" customHeight="1">
      <c r="A7" s="1580"/>
      <c r="B7" s="1580"/>
      <c r="C7" s="1580"/>
      <c r="D7" s="1582"/>
      <c r="E7" s="1582"/>
      <c r="F7" s="1582"/>
      <c r="G7" s="1583"/>
      <c r="H7" s="1583"/>
      <c r="I7" s="1583"/>
      <c r="J7" s="1583"/>
      <c r="K7" s="1583"/>
      <c r="L7" s="1583"/>
      <c r="M7" s="1580"/>
      <c r="N7" s="1584"/>
      <c r="O7" s="1584"/>
      <c r="P7" s="1584"/>
      <c r="Q7" s="1584"/>
      <c r="R7" s="1584"/>
      <c r="S7" s="1584"/>
      <c r="T7" s="1587"/>
      <c r="U7" s="1587"/>
      <c r="V7" s="1587"/>
      <c r="W7" s="1587"/>
      <c r="X7" s="1587"/>
      <c r="Y7" s="1587"/>
    </row>
    <row r="8" spans="1:25" ht="13.5" customHeight="1">
      <c r="A8" s="1580" t="str">
        <f>IF(G8="","",COUNT(G4:L9)&amp;"回目")</f>
        <v/>
      </c>
      <c r="B8" s="1580"/>
      <c r="C8" s="1580"/>
      <c r="D8" s="1582" t="s">
        <v>612</v>
      </c>
      <c r="E8" s="1582"/>
      <c r="F8" s="1582"/>
      <c r="G8" s="1583" t="str">
        <f>印刷ページ!A30</f>
        <v/>
      </c>
      <c r="H8" s="1583"/>
      <c r="I8" s="1583"/>
      <c r="J8" s="1583"/>
      <c r="K8" s="1583"/>
      <c r="L8" s="1583"/>
      <c r="M8" s="1580" t="s">
        <v>608</v>
      </c>
      <c r="N8" s="1584" t="str">
        <f>IFERROR(IF(G8,$N$4,"-"),"")</f>
        <v/>
      </c>
      <c r="O8" s="1584"/>
      <c r="P8" s="1584"/>
      <c r="Q8" s="1584"/>
      <c r="R8" s="1584"/>
      <c r="S8" s="1584"/>
      <c r="T8" s="1587" t="str">
        <f>IFERROR(印刷ページ!E30*10000,"")</f>
        <v/>
      </c>
      <c r="U8" s="1587"/>
      <c r="V8" s="1587"/>
      <c r="W8" s="1587"/>
      <c r="X8" s="1587"/>
      <c r="Y8" s="1587"/>
    </row>
    <row r="9" spans="1:25" ht="13.5" customHeight="1">
      <c r="A9" s="1580"/>
      <c r="B9" s="1580"/>
      <c r="C9" s="1580"/>
      <c r="D9" s="1582"/>
      <c r="E9" s="1582"/>
      <c r="F9" s="1582"/>
      <c r="G9" s="1583"/>
      <c r="H9" s="1583"/>
      <c r="I9" s="1583"/>
      <c r="J9" s="1583"/>
      <c r="K9" s="1583"/>
      <c r="L9" s="1583"/>
      <c r="M9" s="1580"/>
      <c r="N9" s="1584"/>
      <c r="O9" s="1584"/>
      <c r="P9" s="1584"/>
      <c r="Q9" s="1584"/>
      <c r="R9" s="1584"/>
      <c r="S9" s="1584"/>
      <c r="T9" s="1587"/>
      <c r="U9" s="1587"/>
      <c r="V9" s="1587"/>
      <c r="W9" s="1587"/>
      <c r="X9" s="1587"/>
      <c r="Y9" s="1587"/>
    </row>
    <row r="10" spans="1:25" ht="13.5" customHeight="1">
      <c r="A10" s="1580" t="str">
        <f>IF(G10="","",COUNT(G4:L11)&amp;"回目")</f>
        <v/>
      </c>
      <c r="B10" s="1580"/>
      <c r="C10" s="1580"/>
      <c r="D10" s="1582" t="s">
        <v>613</v>
      </c>
      <c r="E10" s="1582"/>
      <c r="F10" s="1582"/>
      <c r="G10" s="1583" t="str">
        <f>印刷ページ!A31</f>
        <v/>
      </c>
      <c r="H10" s="1583"/>
      <c r="I10" s="1583"/>
      <c r="J10" s="1583"/>
      <c r="K10" s="1583"/>
      <c r="L10" s="1583"/>
      <c r="M10" s="1580" t="s">
        <v>608</v>
      </c>
      <c r="N10" s="1584" t="str">
        <f>IFERROR(IF(G10,$N$4,"-"),"")</f>
        <v/>
      </c>
      <c r="O10" s="1584"/>
      <c r="P10" s="1584"/>
      <c r="Q10" s="1584"/>
      <c r="R10" s="1584"/>
      <c r="S10" s="1584"/>
      <c r="T10" s="1587" t="str">
        <f>IFERROR(印刷ページ!E31*10000,"")</f>
        <v/>
      </c>
      <c r="U10" s="1587"/>
      <c r="V10" s="1587"/>
      <c r="W10" s="1587"/>
      <c r="X10" s="1587"/>
      <c r="Y10" s="1587"/>
    </row>
    <row r="11" spans="1:25" ht="13.5" customHeight="1">
      <c r="A11" s="1580"/>
      <c r="B11" s="1580"/>
      <c r="C11" s="1580"/>
      <c r="D11" s="1582"/>
      <c r="E11" s="1582"/>
      <c r="F11" s="1582"/>
      <c r="G11" s="1583"/>
      <c r="H11" s="1583"/>
      <c r="I11" s="1583"/>
      <c r="J11" s="1583"/>
      <c r="K11" s="1583"/>
      <c r="L11" s="1583"/>
      <c r="M11" s="1580"/>
      <c r="N11" s="1584"/>
      <c r="O11" s="1584"/>
      <c r="P11" s="1584"/>
      <c r="Q11" s="1584"/>
      <c r="R11" s="1584"/>
      <c r="S11" s="1584"/>
      <c r="T11" s="1587"/>
      <c r="U11" s="1587"/>
      <c r="V11" s="1587"/>
      <c r="W11" s="1587"/>
      <c r="X11" s="1587"/>
      <c r="Y11" s="1587"/>
    </row>
    <row r="12" spans="1:25" ht="13.5" customHeight="1">
      <c r="A12" s="1580" t="str">
        <f>IF(G12="","",COUNT(G4:L13)&amp;"回目")</f>
        <v/>
      </c>
      <c r="B12" s="1580"/>
      <c r="C12" s="1580"/>
      <c r="D12" s="1582" t="s">
        <v>614</v>
      </c>
      <c r="E12" s="1582"/>
      <c r="F12" s="1582"/>
      <c r="G12" s="1583" t="str">
        <f>印刷ページ!A32</f>
        <v/>
      </c>
      <c r="H12" s="1583"/>
      <c r="I12" s="1583"/>
      <c r="J12" s="1583"/>
      <c r="K12" s="1583"/>
      <c r="L12" s="1583"/>
      <c r="M12" s="1580" t="s">
        <v>608</v>
      </c>
      <c r="N12" s="1584" t="str">
        <f>IFERROR(IF(G12,$N$4,"-"),"")</f>
        <v/>
      </c>
      <c r="O12" s="1584"/>
      <c r="P12" s="1584"/>
      <c r="Q12" s="1584"/>
      <c r="R12" s="1584"/>
      <c r="S12" s="1584"/>
      <c r="T12" s="1587" t="str">
        <f>IFERROR(印刷ページ!E32*10000,"")</f>
        <v/>
      </c>
      <c r="U12" s="1587"/>
      <c r="V12" s="1587"/>
      <c r="W12" s="1587"/>
      <c r="X12" s="1587"/>
      <c r="Y12" s="1587"/>
    </row>
    <row r="13" spans="1:25" ht="13.5" customHeight="1">
      <c r="A13" s="1580"/>
      <c r="B13" s="1580"/>
      <c r="C13" s="1580"/>
      <c r="D13" s="1582"/>
      <c r="E13" s="1582"/>
      <c r="F13" s="1582"/>
      <c r="G13" s="1583"/>
      <c r="H13" s="1583"/>
      <c r="I13" s="1583"/>
      <c r="J13" s="1583"/>
      <c r="K13" s="1583"/>
      <c r="L13" s="1583"/>
      <c r="M13" s="1580"/>
      <c r="N13" s="1584"/>
      <c r="O13" s="1584"/>
      <c r="P13" s="1584"/>
      <c r="Q13" s="1584"/>
      <c r="R13" s="1584"/>
      <c r="S13" s="1584"/>
      <c r="T13" s="1587"/>
      <c r="U13" s="1587"/>
      <c r="V13" s="1587"/>
      <c r="W13" s="1587"/>
      <c r="X13" s="1587"/>
      <c r="Y13" s="1587"/>
    </row>
    <row r="15" spans="1:25">
      <c r="A15" s="1580" t="s">
        <v>615</v>
      </c>
      <c r="B15" s="1580"/>
      <c r="C15" s="1580"/>
      <c r="D15" s="1580"/>
      <c r="E15" s="1580"/>
      <c r="F15" s="1580"/>
      <c r="H15" s="1588" t="s">
        <v>616</v>
      </c>
      <c r="I15" s="1588"/>
      <c r="J15" s="1588"/>
      <c r="K15" s="1588"/>
      <c r="L15" s="1588"/>
      <c r="M15" s="1588"/>
      <c r="N15" s="1588"/>
      <c r="O15" s="1588"/>
      <c r="P15" s="1588"/>
      <c r="Q15" s="1588"/>
      <c r="R15" s="1588"/>
      <c r="S15" s="1588"/>
      <c r="T15" s="1588"/>
      <c r="U15" s="1588"/>
      <c r="V15" s="1588"/>
      <c r="W15" s="1588"/>
    </row>
    <row r="16" spans="1:25">
      <c r="A16" s="1589">
        <v>3.4750000000000003E-2</v>
      </c>
      <c r="B16" s="1589"/>
      <c r="C16" s="1589"/>
      <c r="D16" s="1589"/>
      <c r="E16" s="1589"/>
      <c r="F16" s="1589"/>
      <c r="H16" s="1588"/>
      <c r="I16" s="1588"/>
      <c r="J16" s="1588"/>
      <c r="K16" s="1588"/>
      <c r="L16" s="1588"/>
      <c r="M16" s="1588"/>
      <c r="N16" s="1588"/>
      <c r="O16" s="1588"/>
      <c r="P16" s="1588"/>
      <c r="Q16" s="1588"/>
      <c r="R16" s="1588"/>
      <c r="S16" s="1588"/>
      <c r="T16" s="1588"/>
      <c r="U16" s="1588"/>
      <c r="V16" s="1588"/>
      <c r="W16" s="1588"/>
    </row>
    <row r="17" spans="1:25">
      <c r="A17" s="1589"/>
      <c r="B17" s="1589"/>
      <c r="C17" s="1589"/>
      <c r="D17" s="1589"/>
      <c r="E17" s="1589"/>
      <c r="F17" s="1589"/>
    </row>
    <row r="18" spans="1:25">
      <c r="A18" s="1578"/>
      <c r="B18" s="1578"/>
      <c r="C18" s="1578"/>
      <c r="D18" s="1579" t="s">
        <v>610</v>
      </c>
      <c r="E18" s="1579"/>
      <c r="F18" s="1579"/>
      <c r="G18" s="1580"/>
      <c r="H18" s="1580"/>
      <c r="I18" s="1580"/>
      <c r="J18" s="1580" t="s">
        <v>617</v>
      </c>
      <c r="K18" s="1580"/>
      <c r="L18" s="1580"/>
      <c r="M18" s="1580"/>
      <c r="N18" s="1580"/>
      <c r="O18" s="1580"/>
      <c r="V18" s="1586" t="s">
        <v>618</v>
      </c>
      <c r="W18" s="1586"/>
      <c r="X18" s="1586"/>
      <c r="Y18" s="1586"/>
    </row>
    <row r="19" spans="1:25">
      <c r="A19" s="1580" t="str">
        <f>IF(D19="","",COUNT(D19)&amp;"回目")</f>
        <v/>
      </c>
      <c r="B19" s="1580"/>
      <c r="C19" s="1580"/>
      <c r="D19" s="1581" t="str">
        <f>T4</f>
        <v/>
      </c>
      <c r="E19" s="1581"/>
      <c r="F19" s="1581"/>
      <c r="G19" s="1581"/>
      <c r="H19" s="1581"/>
      <c r="I19" s="1581"/>
      <c r="J19" s="1581" t="e">
        <f>ROUNDDOWN(D19*$A$16*(N4-G4+1)/365,0)</f>
        <v>#VALUE!</v>
      </c>
      <c r="K19" s="1581"/>
      <c r="L19" s="1581"/>
      <c r="M19" s="1581"/>
      <c r="N19" s="1581"/>
      <c r="O19" s="1581"/>
      <c r="V19" s="1586"/>
      <c r="W19" s="1586"/>
      <c r="X19" s="1586"/>
      <c r="Y19" s="1586"/>
    </row>
    <row r="20" spans="1:25">
      <c r="A20" s="1580"/>
      <c r="B20" s="1580"/>
      <c r="C20" s="1580"/>
      <c r="D20" s="1581"/>
      <c r="E20" s="1581"/>
      <c r="F20" s="1581"/>
      <c r="G20" s="1581"/>
      <c r="H20" s="1581"/>
      <c r="I20" s="1581"/>
      <c r="J20" s="1581"/>
      <c r="K20" s="1581"/>
      <c r="L20" s="1581"/>
      <c r="M20" s="1581"/>
      <c r="N20" s="1581"/>
      <c r="O20" s="1581"/>
    </row>
    <row r="21" spans="1:25">
      <c r="A21" s="1580" t="str">
        <f>IF(D21="","",COUNT(D19:I22)&amp;"回目")</f>
        <v/>
      </c>
      <c r="B21" s="1580"/>
      <c r="C21" s="1580"/>
      <c r="D21" s="1581" t="str">
        <f>T6</f>
        <v/>
      </c>
      <c r="E21" s="1581"/>
      <c r="F21" s="1581"/>
      <c r="G21" s="1581"/>
      <c r="H21" s="1581"/>
      <c r="I21" s="1581"/>
      <c r="J21" s="1581" t="str">
        <f>IFERROR(ROUNDDOWN(D21*$A$16*(N6-G6+1)/365,0),"")</f>
        <v/>
      </c>
      <c r="K21" s="1581"/>
      <c r="L21" s="1581"/>
      <c r="M21" s="1581"/>
      <c r="N21" s="1581"/>
      <c r="O21" s="1581"/>
    </row>
    <row r="22" spans="1:25">
      <c r="A22" s="1580"/>
      <c r="B22" s="1580"/>
      <c r="C22" s="1580"/>
      <c r="D22" s="1581"/>
      <c r="E22" s="1581"/>
      <c r="F22" s="1581"/>
      <c r="G22" s="1581"/>
      <c r="H22" s="1581"/>
      <c r="I22" s="1581"/>
      <c r="J22" s="1581"/>
      <c r="K22" s="1581"/>
      <c r="L22" s="1581"/>
      <c r="M22" s="1581"/>
      <c r="N22" s="1581"/>
      <c r="O22" s="1581"/>
    </row>
    <row r="23" spans="1:25">
      <c r="A23" s="1580" t="str">
        <f>IF(D23="","",COUNT(D19:I24)&amp;"回目")</f>
        <v/>
      </c>
      <c r="B23" s="1580"/>
      <c r="C23" s="1580"/>
      <c r="D23" s="1581" t="str">
        <f>T8</f>
        <v/>
      </c>
      <c r="E23" s="1581"/>
      <c r="F23" s="1581"/>
      <c r="G23" s="1581"/>
      <c r="H23" s="1581"/>
      <c r="I23" s="1581"/>
      <c r="J23" s="1581" t="str">
        <f>IFERROR(ROUNDDOWN(D23*$A$16*(N8-G8+1)/365,0),"")</f>
        <v/>
      </c>
      <c r="K23" s="1581"/>
      <c r="L23" s="1581"/>
      <c r="M23" s="1581"/>
      <c r="N23" s="1581"/>
      <c r="O23" s="1581"/>
    </row>
    <row r="24" spans="1:25">
      <c r="A24" s="1580"/>
      <c r="B24" s="1580"/>
      <c r="C24" s="1580"/>
      <c r="D24" s="1581"/>
      <c r="E24" s="1581"/>
      <c r="F24" s="1581"/>
      <c r="G24" s="1581"/>
      <c r="H24" s="1581"/>
      <c r="I24" s="1581"/>
      <c r="J24" s="1581"/>
      <c r="K24" s="1581"/>
      <c r="L24" s="1581"/>
      <c r="M24" s="1581"/>
      <c r="N24" s="1581"/>
      <c r="O24" s="1581"/>
    </row>
    <row r="25" spans="1:25" ht="13.5" customHeight="1">
      <c r="A25" s="1580" t="str">
        <f>IF(D25="","",COUNT(D19:I26)&amp;"回目")</f>
        <v/>
      </c>
      <c r="B25" s="1580"/>
      <c r="C25" s="1580"/>
      <c r="D25" s="1581" t="str">
        <f>T10</f>
        <v/>
      </c>
      <c r="E25" s="1581"/>
      <c r="F25" s="1581"/>
      <c r="G25" s="1581"/>
      <c r="H25" s="1581"/>
      <c r="I25" s="1581"/>
      <c r="J25" s="1581" t="str">
        <f>IFERROR(ROUNDDOWN(D25*$A$16*(N10-G10+1)/365,0),"")</f>
        <v/>
      </c>
      <c r="K25" s="1581"/>
      <c r="L25" s="1581"/>
      <c r="M25" s="1581"/>
      <c r="N25" s="1581"/>
      <c r="O25" s="1581"/>
    </row>
    <row r="26" spans="1:25" ht="13.5" customHeight="1">
      <c r="A26" s="1580"/>
      <c r="B26" s="1580"/>
      <c r="C26" s="1580"/>
      <c r="D26" s="1581"/>
      <c r="E26" s="1581"/>
      <c r="F26" s="1581"/>
      <c r="G26" s="1581"/>
      <c r="H26" s="1581"/>
      <c r="I26" s="1581"/>
      <c r="J26" s="1581"/>
      <c r="K26" s="1581"/>
      <c r="L26" s="1581"/>
      <c r="M26" s="1581"/>
      <c r="N26" s="1581"/>
      <c r="O26" s="1581"/>
    </row>
    <row r="27" spans="1:25">
      <c r="A27" s="1580" t="str">
        <f>IF(D27="","",COUNT(D19:I28)&amp;"回目")</f>
        <v/>
      </c>
      <c r="B27" s="1580"/>
      <c r="C27" s="1580"/>
      <c r="D27" s="1581" t="str">
        <f>T12</f>
        <v/>
      </c>
      <c r="E27" s="1581"/>
      <c r="F27" s="1581"/>
      <c r="G27" s="1581"/>
      <c r="H27" s="1581"/>
      <c r="I27" s="1581"/>
      <c r="J27" s="1581" t="str">
        <f>IFERROR(ROUNDDOWN(D27*$A$16*(N12-G12+1)/365,0),"")</f>
        <v/>
      </c>
      <c r="K27" s="1581"/>
      <c r="L27" s="1581"/>
      <c r="M27" s="1581"/>
      <c r="N27" s="1581"/>
      <c r="O27" s="1581"/>
    </row>
    <row r="28" spans="1:25">
      <c r="A28" s="1580"/>
      <c r="B28" s="1580"/>
      <c r="C28" s="1580"/>
      <c r="D28" s="1581"/>
      <c r="E28" s="1581"/>
      <c r="F28" s="1581"/>
      <c r="G28" s="1581"/>
      <c r="H28" s="1581"/>
      <c r="I28" s="1581"/>
      <c r="J28" s="1581"/>
      <c r="K28" s="1581"/>
      <c r="L28" s="1581"/>
      <c r="M28" s="1581"/>
      <c r="N28" s="1581"/>
      <c r="O28" s="1581"/>
    </row>
    <row r="29" spans="1:25">
      <c r="A29" s="1580" t="s">
        <v>585</v>
      </c>
      <c r="B29" s="1580"/>
      <c r="C29" s="1580"/>
      <c r="D29" s="1581">
        <f>SUM(D19:I28)</f>
        <v>0</v>
      </c>
      <c r="E29" s="1581"/>
      <c r="F29" s="1581"/>
      <c r="G29" s="1581"/>
      <c r="H29" s="1581"/>
      <c r="I29" s="1581"/>
      <c r="J29" s="1585" t="e">
        <f>SUM(J19:O28)</f>
        <v>#VALUE!</v>
      </c>
      <c r="K29" s="1585"/>
      <c r="L29" s="1585"/>
      <c r="M29" s="1585"/>
      <c r="N29" s="1585"/>
      <c r="O29" s="1585"/>
    </row>
    <row r="30" spans="1:25">
      <c r="A30" s="1580"/>
      <c r="B30" s="1580"/>
      <c r="C30" s="1580"/>
      <c r="D30" s="1581"/>
      <c r="E30" s="1581"/>
      <c r="F30" s="1581"/>
      <c r="G30" s="1581"/>
      <c r="H30" s="1581"/>
      <c r="I30" s="1581"/>
      <c r="J30" s="1585"/>
      <c r="K30" s="1585"/>
      <c r="L30" s="1585"/>
      <c r="M30" s="1585"/>
      <c r="N30" s="1585"/>
      <c r="O30" s="1585"/>
    </row>
  </sheetData>
  <mergeCells count="60">
    <mergeCell ref="A3:C3"/>
    <mergeCell ref="D3:F3"/>
    <mergeCell ref="G3:L3"/>
    <mergeCell ref="N3:S3"/>
    <mergeCell ref="T3:Y3"/>
    <mergeCell ref="T8:Y9"/>
    <mergeCell ref="T4:Y5"/>
    <mergeCell ref="A6:C7"/>
    <mergeCell ref="D6:F7"/>
    <mergeCell ref="G6:L7"/>
    <mergeCell ref="M6:M7"/>
    <mergeCell ref="N6:S7"/>
    <mergeCell ref="T6:Y7"/>
    <mergeCell ref="A4:C5"/>
    <mergeCell ref="D4:F5"/>
    <mergeCell ref="G4:L5"/>
    <mergeCell ref="M4:M5"/>
    <mergeCell ref="N4:S5"/>
    <mergeCell ref="A8:C9"/>
    <mergeCell ref="D8:F9"/>
    <mergeCell ref="G8:L9"/>
    <mergeCell ref="M8:M9"/>
    <mergeCell ref="N8:S9"/>
    <mergeCell ref="V18:Y19"/>
    <mergeCell ref="A19:C20"/>
    <mergeCell ref="D19:I20"/>
    <mergeCell ref="J19:O20"/>
    <mergeCell ref="A12:C13"/>
    <mergeCell ref="D12:F13"/>
    <mergeCell ref="G12:L13"/>
    <mergeCell ref="M12:M13"/>
    <mergeCell ref="N12:S13"/>
    <mergeCell ref="T12:Y13"/>
    <mergeCell ref="T10:Y11"/>
    <mergeCell ref="A15:F15"/>
    <mergeCell ref="H15:W16"/>
    <mergeCell ref="A16:F17"/>
    <mergeCell ref="J23:O24"/>
    <mergeCell ref="A27:C28"/>
    <mergeCell ref="D27:I28"/>
    <mergeCell ref="J27:O28"/>
    <mergeCell ref="A29:C30"/>
    <mergeCell ref="D29:I30"/>
    <mergeCell ref="J29:O30"/>
    <mergeCell ref="A25:C26"/>
    <mergeCell ref="D25:I26"/>
    <mergeCell ref="J25:O26"/>
    <mergeCell ref="A23:C24"/>
    <mergeCell ref="D23:I24"/>
    <mergeCell ref="A10:C11"/>
    <mergeCell ref="D10:F11"/>
    <mergeCell ref="G10:L11"/>
    <mergeCell ref="M10:M11"/>
    <mergeCell ref="N10:S11"/>
    <mergeCell ref="A18:C18"/>
    <mergeCell ref="D18:I18"/>
    <mergeCell ref="J18:O18"/>
    <mergeCell ref="A21:C22"/>
    <mergeCell ref="D21:I22"/>
    <mergeCell ref="J21:O22"/>
  </mergeCells>
  <phoneticPr fontId="8"/>
  <conditionalFormatting sqref="D4:Y13">
    <cfRule type="expression" dxfId="25" priority="1">
      <formula>$A4=""</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4" tint="0.39997558519241921"/>
  </sheetPr>
  <dimension ref="A1:P53"/>
  <sheetViews>
    <sheetView zoomScale="90" zoomScaleNormal="90" workbookViewId="0"/>
  </sheetViews>
  <sheetFormatPr defaultRowHeight="17.25" customHeight="1"/>
  <cols>
    <col min="1" max="1" width="12.125" customWidth="1"/>
    <col min="2" max="2" width="5" hidden="1" customWidth="1"/>
    <col min="3" max="9" width="12.125" customWidth="1"/>
    <col min="10" max="16" width="13.125" customWidth="1"/>
  </cols>
  <sheetData>
    <row r="1" spans="1:16" ht="17.25" customHeight="1">
      <c r="C1" t="s">
        <v>619</v>
      </c>
    </row>
    <row r="2" spans="1:16" ht="17.25" customHeight="1">
      <c r="D2" s="1591" t="str">
        <f>IF(計算シート!H18=1,"フラット３５元利均等",0)</f>
        <v>フラット３５元利均等</v>
      </c>
      <c r="E2" s="1591"/>
      <c r="F2" s="1591">
        <f>IF(資金計画!K24&gt;0,"ベストミックス",0)</f>
        <v>0</v>
      </c>
      <c r="G2" s="1591"/>
      <c r="H2" s="1591">
        <f>IF(資金計画!K29&gt;0,"アプラスワイド",0)</f>
        <v>0</v>
      </c>
      <c r="I2" s="1591"/>
    </row>
    <row r="3" spans="1:16" ht="17.25" customHeight="1">
      <c r="D3" s="1591">
        <f>IF(計算シート!H18=1,0,"フラット３5元金均等")</f>
        <v>0</v>
      </c>
      <c r="E3" s="1591"/>
      <c r="F3" s="1591">
        <f>IF(資金計画!K28&gt;0,"アプラス",0)</f>
        <v>0</v>
      </c>
      <c r="G3" s="1591"/>
      <c r="H3" s="1592" t="s">
        <v>620</v>
      </c>
      <c r="I3" s="1593"/>
    </row>
    <row r="5" spans="1:16" ht="26.25" customHeight="1">
      <c r="A5" s="1604" t="str">
        <f>IF(印刷ページ!A2="","",印刷ページ!A2)</f>
        <v/>
      </c>
      <c r="B5" s="1604"/>
      <c r="C5" s="1604"/>
      <c r="D5" s="225" t="s">
        <v>7</v>
      </c>
      <c r="E5" s="1604" t="str">
        <f>IF(印刷ページ!F2="","",印刷ページ!F2)</f>
        <v/>
      </c>
      <c r="F5" s="1604"/>
      <c r="G5" s="225" t="s">
        <v>7</v>
      </c>
      <c r="H5" s="225" t="s">
        <v>621</v>
      </c>
      <c r="I5" s="95" t="str">
        <f>IF(D2=0,"","1/"&amp;5-COUNT(D2:I3))</f>
        <v>1/1</v>
      </c>
    </row>
    <row r="6" spans="1:16" ht="8.1" customHeight="1"/>
    <row r="7" spans="1:16" ht="17.25" customHeight="1">
      <c r="F7" s="592" t="str">
        <f>入力シート!J118</f>
        <v>0年間</v>
      </c>
      <c r="G7" s="592" t="str">
        <f>IF(入力シート!L118="","",入力シート!L118)</f>
        <v/>
      </c>
      <c r="H7" s="592" t="str">
        <f>IF(入力シート!N118="","",入力シート!N118)</f>
        <v/>
      </c>
      <c r="I7" s="1601" t="str">
        <f>IF(D2=0,"対象外です","")</f>
        <v/>
      </c>
    </row>
    <row r="8" spans="1:16" ht="17.25" customHeight="1">
      <c r="D8" s="593" t="s">
        <v>622</v>
      </c>
      <c r="F8" s="1605" t="s">
        <v>623</v>
      </c>
      <c r="G8" s="1606"/>
      <c r="H8" s="1607"/>
      <c r="I8" s="1601"/>
      <c r="J8" s="9"/>
    </row>
    <row r="9" spans="1:16" ht="17.25" customHeight="1">
      <c r="D9" s="594">
        <f>計算シート!$C$82</f>
        <v>0</v>
      </c>
      <c r="F9" s="595">
        <f>計算シート!C119</f>
        <v>1.43E-2</v>
      </c>
      <c r="G9" s="282" t="str">
        <f>IF(入力シート!L118="","",計算シート!C122)</f>
        <v/>
      </c>
      <c r="H9" s="283" t="str">
        <f>IF(入力シート!N118="","",計算シート!C124)</f>
        <v/>
      </c>
      <c r="I9" s="1601"/>
    </row>
    <row r="10" spans="1:16" ht="17.25" customHeight="1">
      <c r="D10" s="232"/>
      <c r="E10" s="596" t="s">
        <v>392</v>
      </c>
      <c r="F10" s="1605" t="s">
        <v>624</v>
      </c>
      <c r="G10" s="1606"/>
      <c r="H10" s="1607"/>
      <c r="I10" s="1601"/>
      <c r="M10" s="233"/>
    </row>
    <row r="11" spans="1:16" ht="17.25" customHeight="1">
      <c r="C11" s="1609" t="s">
        <v>625</v>
      </c>
      <c r="D11" s="1609"/>
      <c r="E11" s="597">
        <f>計算シート!C112</f>
        <v>1</v>
      </c>
      <c r="F11" s="598" t="e">
        <f>計算シート!C126</f>
        <v>#NUM!</v>
      </c>
      <c r="G11" s="599" t="str">
        <f>IF(入力シート!L118="","",計算シート!H115)</f>
        <v/>
      </c>
      <c r="H11" s="600" t="str">
        <f>IF(入力シート!N118="","",計算シート!H122)</f>
        <v/>
      </c>
      <c r="I11" s="1601"/>
      <c r="K11" s="233"/>
      <c r="L11" s="233"/>
      <c r="M11" s="233"/>
    </row>
    <row r="12" spans="1:16" ht="17.25" customHeight="1">
      <c r="B12" s="476"/>
      <c r="C12" s="1608" t="s">
        <v>626</v>
      </c>
      <c r="D12" s="1608"/>
      <c r="E12" s="235" t="str">
        <f>IF(計算シート!C114=0,"",計算シート!C114)</f>
        <v/>
      </c>
      <c r="F12" s="29" t="str">
        <f>IF(E12="","",計算シート!C130)</f>
        <v/>
      </c>
      <c r="G12" s="477" t="str">
        <f>IF(E12="","",IF(入力シート!L118="","",計算シート!M115))</f>
        <v/>
      </c>
      <c r="H12" s="478" t="str">
        <f>IF(E12="","",IF(入力シート!N118="","",計算シート!M122))</f>
        <v/>
      </c>
      <c r="I12" s="1601"/>
      <c r="K12" s="233"/>
      <c r="L12" s="233"/>
      <c r="M12" s="233"/>
    </row>
    <row r="13" spans="1:16" ht="8.1" customHeight="1">
      <c r="C13" s="95"/>
      <c r="D13" s="95"/>
      <c r="E13" s="232"/>
      <c r="F13" s="233"/>
      <c r="G13" s="233"/>
      <c r="H13" s="233"/>
      <c r="I13" s="290"/>
      <c r="K13" s="233"/>
      <c r="L13" s="233"/>
      <c r="M13" s="233"/>
    </row>
    <row r="14" spans="1:16" ht="17.25" customHeight="1">
      <c r="C14" s="1602" t="str">
        <f>IF(OR(計算シート!H21=2,計算シート!H21=3),"保証型を利用します。　　",IF(資金計画!U5=2,"ＭＡＸの金利が適用されています。　　",""))&amp;IF(AND(計算シート!R8&gt;=4,計算シート!R9=1),"リノベと維持保全型は併用できませんが、維持保全型の適用をナシとして計算しています。入力シートを修正してください。",IF(計算シート!M8=0,"","フラット３５の金利引下プランにより"&amp;IF(OR(ポイントメニュー!G22="",ポイントメニュー!G22=0),ポイントメニュー!D21&amp;ポイントメニュー!E21&amp;ポイントメニュー!F21&amp;ポイントメニュー!G21&amp;ポイントメニュー!H21,ポイントメニュー!D21&amp;ポイントメニュー!E21&amp;ポイントメニュー!F21&amp;ポイントメニュー!G21&amp;ポイントメニュー!H21&amp;ポイントメニュー!D22&amp;ポイントメニュー!E22&amp;ポイントメニュー!F22&amp;ポイントメニュー!G22&amp;ポイントメニュー!H22)&amp;"になっています。"))</f>
        <v/>
      </c>
      <c r="D14" s="1602"/>
      <c r="E14" s="1602"/>
      <c r="F14" s="1602"/>
      <c r="G14" s="1602"/>
      <c r="H14" s="1602"/>
      <c r="I14" s="1602"/>
      <c r="K14" s="233"/>
      <c r="L14" s="233"/>
      <c r="M14" s="233"/>
    </row>
    <row r="15" spans="1:16" ht="17.25" customHeight="1" thickBot="1">
      <c r="C15" s="1603"/>
      <c r="D15" s="1603"/>
      <c r="E15" s="1603"/>
      <c r="F15" s="1603"/>
      <c r="G15" s="1603"/>
      <c r="H15" s="1603"/>
      <c r="I15" s="1603"/>
    </row>
    <row r="16" spans="1:16" ht="17.25" customHeight="1">
      <c r="C16" s="1598" t="s">
        <v>627</v>
      </c>
      <c r="D16" s="1599"/>
      <c r="E16" s="1599"/>
      <c r="F16" s="1599"/>
      <c r="G16" s="1599"/>
      <c r="H16" s="1599"/>
      <c r="I16" s="1600"/>
      <c r="J16" s="234"/>
      <c r="K16" s="9"/>
      <c r="L16" s="9"/>
      <c r="M16" s="9"/>
      <c r="N16" s="9"/>
      <c r="O16" s="9"/>
      <c r="P16" s="9"/>
    </row>
    <row r="17" spans="1:16" ht="17.25" customHeight="1">
      <c r="C17" s="1594" t="s">
        <v>96</v>
      </c>
      <c r="D17" s="1595"/>
      <c r="E17" s="1596"/>
      <c r="F17" s="1597" t="s">
        <v>628</v>
      </c>
      <c r="G17" s="1597"/>
      <c r="H17" s="1597"/>
      <c r="I17" s="601"/>
      <c r="J17" s="234"/>
      <c r="K17" s="9"/>
      <c r="L17" s="9"/>
      <c r="M17" s="9"/>
      <c r="N17" s="9"/>
      <c r="O17" s="9"/>
    </row>
    <row r="18" spans="1:16" ht="17.25" customHeight="1">
      <c r="B18" t="s">
        <v>629</v>
      </c>
      <c r="C18" s="250" t="s">
        <v>630</v>
      </c>
      <c r="D18" s="251" t="s">
        <v>631</v>
      </c>
      <c r="E18" s="252" t="s">
        <v>632</v>
      </c>
      <c r="F18" s="253" t="s">
        <v>630</v>
      </c>
      <c r="G18" s="253" t="s">
        <v>631</v>
      </c>
      <c r="H18" s="253" t="s">
        <v>632</v>
      </c>
      <c r="I18" s="602" t="s">
        <v>633</v>
      </c>
      <c r="J18" s="9"/>
      <c r="K18" s="9"/>
      <c r="L18" s="9"/>
      <c r="M18" s="9"/>
      <c r="N18" s="9"/>
      <c r="O18" s="9"/>
      <c r="P18" s="9"/>
    </row>
    <row r="19" spans="1:16" ht="17.25" customHeight="1">
      <c r="A19" s="31" t="str">
        <f>IF($D$9&lt;A18+1,"",A18+1)</f>
        <v/>
      </c>
      <c r="B19" t="str">
        <f>IF(A19="","",IF($D$9-A19&gt;=0,A19,""))</f>
        <v/>
      </c>
      <c r="C19" s="32" t="str">
        <f>IF(B19="","",ROUNDDOWN(-CUMIPMT(IF(B19&gt;計算シート!$C$123,計算シート!$C$124,IF(B19&gt;計算シート!$C$121,計算シート!$C$122,計算シート!$C$119))/12,($D$9-B19+1)*12,E11*10000,1,12,0),0))</f>
        <v/>
      </c>
      <c r="D19" s="33" t="str">
        <f>IF(B19="","",ROUNDUP(-CUMPRINC(IF(B19&gt;計算シート!$C$123,計算シート!$C$124,IF(B19&gt;計算シート!$C$121,計算シート!$C$122,計算シート!$C$119))/12,($D$9-B19+1)*12,E11*10000,1,12,0),0))</f>
        <v/>
      </c>
      <c r="E19" s="34" t="str">
        <f>IF(B19="","",IF(E11*10000-D19&lt;0,0,E11*10000-D19))</f>
        <v/>
      </c>
      <c r="F19" s="38" t="str">
        <f>IF($E$12="","",IF(B19="","",ROUNDDOWN(-CUMIPMT(IF(B19&gt;計算シート!$C$123,計算シート!$C$124,IF(B19&gt;計算シート!$C$121,計算シート!$C$122,計算シート!$C$119))/2,($D$9-B19+1)*2,$E$12*10000,1,2,0),0)))</f>
        <v/>
      </c>
      <c r="G19" s="33" t="str">
        <f>IF($E$12="","",IF(B19="","",ROUNDUP(-CUMPRINC(IF(B19&gt;計算シート!$C$123,計算シート!$C$124,IF(B19&gt;計算シート!$C$121,計算シート!$C$122,計算シート!$C$119))/2,($D$9-B19+1)*2,E12*10000,1,2,0),0)))</f>
        <v/>
      </c>
      <c r="H19" s="36" t="str">
        <f>IF(E12="","",IF(B19="","",IF(E12*10000-G19&lt;0,0,E12*10000-G19)))</f>
        <v/>
      </c>
      <c r="I19" s="37" t="str">
        <f>IF(E19="","",E19+IF(H19="",0,H19))</f>
        <v/>
      </c>
      <c r="J19" s="68"/>
      <c r="K19" s="68"/>
      <c r="L19" s="68"/>
      <c r="M19" s="68"/>
      <c r="N19" s="68"/>
      <c r="O19" s="68"/>
      <c r="P19" s="68"/>
    </row>
    <row r="20" spans="1:16" ht="17.25" customHeight="1">
      <c r="A20" s="31" t="str">
        <f t="shared" ref="A20:A53" si="0">IF(A19="","",IF($D$9&lt;A19+1,"",A19+1))</f>
        <v/>
      </c>
      <c r="B20" t="str">
        <f t="shared" ref="B20:B53" si="1">IF(A20="","",IF($D$9-A20&gt;=0,A20,""))</f>
        <v/>
      </c>
      <c r="C20" s="32" t="str">
        <f>IF(B20="","",ROUNDDOWN(-CUMIPMT(IF(B20&gt;計算シート!$C$123,計算シート!$C$124,IF(B20&gt;計算シート!$C$121,計算シート!$C$122,計算シート!$C$119))/12,($D$9-B20+1)*12,E19,1,12,0),0))</f>
        <v/>
      </c>
      <c r="D20" s="33" t="str">
        <f>IF(B20="","",ROUNDUP(-CUMPRINC(IF(B20&gt;計算シート!$C$123,計算シート!$C$124,IF(B20&gt;計算シート!$C$121,計算シート!$C$122,計算シート!$C$119))/12,($D$9-B20+1)*12,E19,1,12,0),0))</f>
        <v/>
      </c>
      <c r="E20" s="34" t="str">
        <f t="shared" ref="E20:E53" si="2">IF(B20="","",IF(E19-D20&lt;0,0,E19-D20))</f>
        <v/>
      </c>
      <c r="F20" s="38" t="str">
        <f>IF($E$12="","",IF(B20="","",ROUNDDOWN(-CUMIPMT(IF(B20&gt;計算シート!$C$123,計算シート!$C$124,IF(B20&gt;計算シート!$C$121,計算シート!$C$122,計算シート!$C$119))/2,($D$9-B20+1)*2,H19,1,2,0),0)))</f>
        <v/>
      </c>
      <c r="G20" s="33" t="str">
        <f>IF($E$12="","",IF(B20="","",ROUNDUP(-CUMPRINC(IF(B20&gt;計算シート!$C$123,計算シート!$C$124,IF(B20&gt;計算シート!$C$121,計算シート!$C$122,計算シート!$C$119))/2,($D$9-B20+1)*2,H19,1,2,0),0)))</f>
        <v/>
      </c>
      <c r="H20" s="36" t="str">
        <f t="shared" ref="H20:H53" si="3">IF($E$12="","",IF(B20="","",IF(H19-G20&lt;0,0,H19-G20)))</f>
        <v/>
      </c>
      <c r="I20" s="37" t="str">
        <f t="shared" ref="I20:I53" si="4">IF(E20="","",E20+IF(H20="",0,H20))</f>
        <v/>
      </c>
      <c r="J20" s="68"/>
      <c r="K20" s="68"/>
      <c r="L20" s="68"/>
      <c r="M20" s="68"/>
      <c r="N20" s="68"/>
      <c r="O20" s="68"/>
      <c r="P20" s="68"/>
    </row>
    <row r="21" spans="1:16" ht="17.25" customHeight="1">
      <c r="A21" s="31" t="str">
        <f t="shared" si="0"/>
        <v/>
      </c>
      <c r="B21" t="str">
        <f t="shared" si="1"/>
        <v/>
      </c>
      <c r="C21" s="32" t="str">
        <f>IF(B21="","",ROUNDDOWN(-CUMIPMT(IF(B21&gt;計算シート!$C$123,計算シート!$C$124,IF(B21&gt;計算シート!$C$121,計算シート!$C$122,計算シート!$C$119))/12,($D$9-B21+1)*12,E20,1,12,0),0))</f>
        <v/>
      </c>
      <c r="D21" s="33" t="str">
        <f>IF(B21="","",ROUNDUP(-CUMPRINC(IF(B21&gt;計算シート!$C$123,計算シート!$C$124,IF(B21&gt;計算シート!$C$121,計算シート!$C$122,計算シート!$C$119))/12,($D$9-B21+1)*12,E20,1,12,0),0))</f>
        <v/>
      </c>
      <c r="E21" s="34" t="str">
        <f t="shared" si="2"/>
        <v/>
      </c>
      <c r="F21" s="38" t="str">
        <f>IF($E$12="","",IF(B21="","",ROUNDDOWN(-CUMIPMT(IF(B21&gt;計算シート!$C$123,計算シート!$C$124,IF(B21&gt;計算シート!$C$121,計算シート!$C$122,計算シート!$C$119))/2,($D$9-B21+1)*2,H20,1,2,0),0)))</f>
        <v/>
      </c>
      <c r="G21" s="33" t="str">
        <f>IF($E$12="","",IF(B21="","",ROUNDUP(-CUMPRINC(IF(B21&gt;計算シート!$C$123,計算シート!$C$124,IF(B21&gt;計算シート!$C$121,計算シート!$C$122,計算シート!$C$119))/2,($D$9-B21+1)*2,H20,1,2,0),0)))</f>
        <v/>
      </c>
      <c r="H21" s="36" t="str">
        <f t="shared" si="3"/>
        <v/>
      </c>
      <c r="I21" s="37" t="str">
        <f t="shared" si="4"/>
        <v/>
      </c>
      <c r="J21" s="68"/>
      <c r="K21" s="68"/>
      <c r="L21" s="68"/>
      <c r="M21" s="68"/>
      <c r="N21" s="68"/>
      <c r="O21" s="68"/>
      <c r="P21" s="68"/>
    </row>
    <row r="22" spans="1:16" ht="17.25" customHeight="1">
      <c r="A22" s="31" t="str">
        <f t="shared" si="0"/>
        <v/>
      </c>
      <c r="B22" t="str">
        <f t="shared" si="1"/>
        <v/>
      </c>
      <c r="C22" s="32" t="str">
        <f>IF(B22="","",ROUNDDOWN(-CUMIPMT(IF(B22&gt;計算シート!$C$123,計算シート!$C$124,IF(B22&gt;計算シート!$C$121,計算シート!$C$122,計算シート!$C$119))/12,($D$9-B22+1)*12,E21,1,12,0),0))</f>
        <v/>
      </c>
      <c r="D22" s="33" t="str">
        <f>IF(B22="","",ROUNDUP(-CUMPRINC(IF(B22&gt;計算シート!$C$123,計算シート!$C$124,IF(B22&gt;計算シート!$C$121,計算シート!$C$122,計算シート!$C$119))/12,($D$9-B22+1)*12,E21,1,12,0),0))</f>
        <v/>
      </c>
      <c r="E22" s="34" t="str">
        <f t="shared" si="2"/>
        <v/>
      </c>
      <c r="F22" s="38" t="str">
        <f>IF($E$12="","",IF(B22="","",ROUNDDOWN(-CUMIPMT(IF(B22&gt;計算シート!$C$123,計算シート!$C$124,IF(B22&gt;計算シート!$C$121,計算シート!$C$122,計算シート!$C$119))/2,($D$9-B22+1)*2,H21,1,2,0),0)))</f>
        <v/>
      </c>
      <c r="G22" s="33" t="str">
        <f>IF($E$12="","",IF(B22="","",ROUNDUP(-CUMPRINC(IF(B22&gt;計算シート!$C$123,計算シート!$C$124,IF(B22&gt;計算シート!$C$121,計算シート!$C$122,計算シート!$C$119))/2,($D$9-B22+1)*2,H21,1,2,0),0)))</f>
        <v/>
      </c>
      <c r="H22" s="36" t="str">
        <f t="shared" si="3"/>
        <v/>
      </c>
      <c r="I22" s="37" t="str">
        <f t="shared" si="4"/>
        <v/>
      </c>
      <c r="J22" s="68"/>
      <c r="K22" s="68"/>
      <c r="L22" s="68"/>
      <c r="M22" s="68"/>
      <c r="N22" s="68"/>
      <c r="O22" s="68"/>
      <c r="P22" s="68"/>
    </row>
    <row r="23" spans="1:16" ht="17.25" customHeight="1">
      <c r="A23" s="31" t="str">
        <f t="shared" si="0"/>
        <v/>
      </c>
      <c r="B23" t="str">
        <f t="shared" si="1"/>
        <v/>
      </c>
      <c r="C23" s="39" t="str">
        <f>IF(B23="","",ROUNDDOWN(-CUMIPMT(IF(B23&gt;計算シート!$C$123,計算シート!$C$124,IF(B23&gt;計算シート!$C$121,計算シート!$C$122,計算シート!$C$119))/12,($D$9-B23+1)*12,E22,1,12,0),0))</f>
        <v/>
      </c>
      <c r="D23" s="40" t="str">
        <f>IF(B23="","",ROUNDUP(-CUMPRINC(IF(B23&gt;計算シート!$C$123,計算シート!$C$124,IF(B23&gt;計算シート!$C$121,計算シート!$C$122,計算シート!$C$119))/12,($D$9-B23+1)*12,E22,1,12,0),0))</f>
        <v/>
      </c>
      <c r="E23" s="41" t="str">
        <f t="shared" si="2"/>
        <v/>
      </c>
      <c r="F23" s="288" t="str">
        <f>IF($E$12="","",IF(B23="","",ROUNDDOWN(-CUMIPMT(IF(B23&gt;計算シート!$C$123,計算シート!$C$124,IF(B23&gt;計算シート!$C$121,計算シート!$C$122,計算シート!$C$119))/2,($D$9-B23+1)*2,H22,1,2,0),0)))</f>
        <v/>
      </c>
      <c r="G23" s="40" t="str">
        <f>IF($E$12="","",IF(B23="","",ROUNDUP(-CUMPRINC(IF(B23&gt;計算シート!$C$123,計算シート!$C$124,IF(B23&gt;計算シート!$C$121,計算シート!$C$122,計算シート!$C$119))/2,($D$9-B23+1)*2,H22,1,2,0),0)))</f>
        <v/>
      </c>
      <c r="H23" s="41" t="str">
        <f t="shared" si="3"/>
        <v/>
      </c>
      <c r="I23" s="603" t="str">
        <f t="shared" si="4"/>
        <v/>
      </c>
      <c r="J23" s="68"/>
      <c r="K23" s="68"/>
      <c r="L23" s="68"/>
      <c r="M23" s="68"/>
      <c r="N23" s="68"/>
      <c r="O23" s="68"/>
      <c r="P23" s="68"/>
    </row>
    <row r="24" spans="1:16" ht="17.25" customHeight="1">
      <c r="A24" s="31" t="str">
        <f t="shared" si="0"/>
        <v/>
      </c>
      <c r="B24" t="str">
        <f t="shared" si="1"/>
        <v/>
      </c>
      <c r="C24" s="236" t="str">
        <f>IF(B24="","",ROUNDDOWN(-CUMIPMT(IF(B24&gt;計算シート!$C$123,計算シート!$C$124,IF(B24&gt;計算シート!$C$121,計算シート!$C$122,計算シート!$C$119))/12,($D$9-B24+1)*12,E23,1,12,0),0))</f>
        <v/>
      </c>
      <c r="D24" s="45" t="str">
        <f>IF(B24="","",ROUNDUP(-CUMPRINC(IF(B24&gt;計算シート!$C$123,計算シート!$C$124,IF(B24&gt;計算シート!$C$121,計算シート!$C$122,計算シート!$C$119))/12,($D$9-B24+1)*12,E23,1,12,0),0))</f>
        <v/>
      </c>
      <c r="E24" s="46" t="str">
        <f>IF(B24="","",IF(E23-D24&lt;0,0,E23-D24))</f>
        <v/>
      </c>
      <c r="F24" s="287" t="str">
        <f>IF($E$12="","",IF(B24="","",ROUNDDOWN(-CUMIPMT(IF(B24&gt;計算シート!$C$123,計算シート!$C$124,IF(B24&gt;計算シート!$C$121,計算シート!$C$122,計算シート!$C$119))/2,($D$9-B24+1)*2,H23,1,2,0),0)))</f>
        <v/>
      </c>
      <c r="G24" s="45" t="str">
        <f>IF($E$12="","",IF(B24="","",ROUNDUP(-CUMPRINC(IF(B24&gt;計算シート!$C$123,計算シート!$C$124,IF(B24&gt;計算シート!$C$121,計算シート!$C$122,計算シート!$C$119))/2,($D$9-B24+1)*2,H23,1,2,0),0)))</f>
        <v/>
      </c>
      <c r="H24" s="47" t="str">
        <f t="shared" si="3"/>
        <v/>
      </c>
      <c r="I24" s="604" t="str">
        <f t="shared" si="4"/>
        <v/>
      </c>
      <c r="J24" s="68"/>
      <c r="K24" s="68"/>
      <c r="L24" s="68"/>
      <c r="M24" s="68"/>
      <c r="N24" s="68"/>
      <c r="O24" s="68"/>
      <c r="P24" s="68"/>
    </row>
    <row r="25" spans="1:16" ht="17.25" customHeight="1">
      <c r="A25" s="31" t="str">
        <f t="shared" si="0"/>
        <v/>
      </c>
      <c r="B25" t="str">
        <f t="shared" si="1"/>
        <v/>
      </c>
      <c r="C25" s="32" t="str">
        <f>IF(B25="","",ROUNDDOWN(-CUMIPMT(IF(B25&gt;計算シート!$C$123,計算シート!$C$124,IF(B25&gt;計算シート!$C$121,計算シート!$C$122,計算シート!$C$119))/12,($D$9-B25+1)*12,E24,1,12,0),0))</f>
        <v/>
      </c>
      <c r="D25" s="33" t="str">
        <f>IF(B25="","",ROUNDUP(-CUMPRINC(IF(B25&gt;計算シート!$C$123,計算シート!$C$124,IF(B25&gt;計算シート!$C$121,計算シート!$C$122,計算シート!$C$119))/12,($D$9-B25+1)*12,E24,1,12,0),0))</f>
        <v/>
      </c>
      <c r="E25" s="34" t="str">
        <f t="shared" si="2"/>
        <v/>
      </c>
      <c r="F25" s="38" t="str">
        <f>IF($E$12="","",IF(B25="","",ROUNDDOWN(-CUMIPMT(IF(B25&gt;計算シート!$C$123,計算シート!$C$124,IF(B25&gt;計算シート!$C$121,計算シート!$C$122,計算シート!$C$119))/2,($D$9-B25+1)*2,H24,1,2,0),0)))</f>
        <v/>
      </c>
      <c r="G25" s="33" t="str">
        <f>IF($E$12="","",IF(B25="","",ROUNDUP(-CUMPRINC(IF(B25&gt;計算シート!$C$123,計算シート!$C$124,IF(B25&gt;計算シート!$C$121,計算シート!$C$122,計算シート!$C$119))/2,($D$9-B25+1)*2,H24,1,2,0),0)))</f>
        <v/>
      </c>
      <c r="H25" s="36" t="str">
        <f t="shared" si="3"/>
        <v/>
      </c>
      <c r="I25" s="37" t="str">
        <f t="shared" si="4"/>
        <v/>
      </c>
      <c r="J25" s="68"/>
      <c r="K25" s="68"/>
      <c r="L25" s="68"/>
      <c r="M25" s="68"/>
      <c r="N25" s="68"/>
      <c r="O25" s="68"/>
      <c r="P25" s="68"/>
    </row>
    <row r="26" spans="1:16" ht="17.25" customHeight="1">
      <c r="A26" s="31" t="str">
        <f t="shared" si="0"/>
        <v/>
      </c>
      <c r="B26" t="str">
        <f t="shared" si="1"/>
        <v/>
      </c>
      <c r="C26" s="32" t="str">
        <f>IF(B26="","",ROUNDDOWN(-CUMIPMT(IF(B26&gt;計算シート!$C$123,計算シート!$C$124,IF(B26&gt;計算シート!$C$121,計算シート!$C$122,計算シート!$C$119))/12,($D$9-B26+1)*12,E25,1,12,0),0))</f>
        <v/>
      </c>
      <c r="D26" s="33" t="str">
        <f>IF(B26="","",ROUNDUP(-CUMPRINC(IF(B26&gt;計算シート!$C$123,計算シート!$C$124,IF(B26&gt;計算シート!$C$121,計算シート!$C$122,計算シート!$C$119))/12,($D$9-B26+1)*12,E25,1,12,0),0))</f>
        <v/>
      </c>
      <c r="E26" s="34" t="str">
        <f t="shared" si="2"/>
        <v/>
      </c>
      <c r="F26" s="38" t="str">
        <f>IF($E$12="","",IF(B26="","",ROUNDDOWN(-CUMIPMT(IF(B26&gt;計算シート!$C$123,計算シート!$C$124,IF(B26&gt;計算シート!$C$121,計算シート!$C$122,計算シート!$C$119))/2,($D$9-B26+1)*2,H25,1,2,0),0)))</f>
        <v/>
      </c>
      <c r="G26" s="33" t="str">
        <f>IF($E$12="","",IF(B26="","",ROUNDUP(-CUMPRINC(IF(B26&gt;計算シート!$C$123,計算シート!$C$124,IF(B26&gt;計算シート!$C$121,計算シート!$C$122,計算シート!$C$119))/2,($D$9-B26+1)*2,H25,1,2,0),0)))</f>
        <v/>
      </c>
      <c r="H26" s="36" t="str">
        <f t="shared" si="3"/>
        <v/>
      </c>
      <c r="I26" s="37" t="str">
        <f t="shared" si="4"/>
        <v/>
      </c>
      <c r="J26" s="68"/>
      <c r="K26" s="68"/>
      <c r="L26" s="68"/>
      <c r="M26" s="68"/>
      <c r="N26" s="68"/>
      <c r="O26" s="68"/>
      <c r="P26" s="68"/>
    </row>
    <row r="27" spans="1:16" ht="17.25" customHeight="1">
      <c r="A27" s="31" t="str">
        <f t="shared" si="0"/>
        <v/>
      </c>
      <c r="B27" t="str">
        <f t="shared" si="1"/>
        <v/>
      </c>
      <c r="C27" s="32" t="str">
        <f>IF(B27="","",ROUNDDOWN(-CUMIPMT(IF(B27&gt;計算シート!$C$123,計算シート!$C$124,IF(B27&gt;計算シート!$C$121,計算シート!$C$122,計算シート!$C$119))/12,($D$9-B27+1)*12,E26,1,12,0),0))</f>
        <v/>
      </c>
      <c r="D27" s="33" t="str">
        <f>IF(B27="","",ROUNDUP(-CUMPRINC(IF(B27&gt;計算シート!$C$123,計算シート!$C$124,IF(B27&gt;計算シート!$C$121,計算シート!$C$122,計算シート!$C$119))/12,($D$9-B27+1)*12,E26,1,12,0),0))</f>
        <v/>
      </c>
      <c r="E27" s="34" t="str">
        <f t="shared" si="2"/>
        <v/>
      </c>
      <c r="F27" s="38" t="str">
        <f>IF($E$12="","",IF(B27="","",ROUNDDOWN(-CUMIPMT(IF(B27&gt;計算シート!$C$123,計算シート!$C$124,IF(B27&gt;計算シート!$C$121,計算シート!$C$122,計算シート!$C$119))/2,($D$9-B27+1)*2,H26,1,2,0),0)))</f>
        <v/>
      </c>
      <c r="G27" s="33" t="str">
        <f>IF($E$12="","",IF(B27="","",ROUNDUP(-CUMPRINC(IF(B27&gt;計算シート!$C$123,計算シート!$C$124,IF(B27&gt;計算シート!$C$121,計算シート!$C$122,計算シート!$C$119))/2,($D$9-B27+1)*2,H26,1,2,0),0)))</f>
        <v/>
      </c>
      <c r="H27" s="36" t="str">
        <f t="shared" si="3"/>
        <v/>
      </c>
      <c r="I27" s="37" t="str">
        <f t="shared" si="4"/>
        <v/>
      </c>
      <c r="J27" s="68"/>
      <c r="K27" s="68"/>
      <c r="L27" s="68"/>
      <c r="M27" s="68"/>
      <c r="N27" s="68"/>
      <c r="O27" s="68"/>
      <c r="P27" s="68"/>
    </row>
    <row r="28" spans="1:16" ht="17.25" customHeight="1">
      <c r="A28" s="31" t="str">
        <f t="shared" si="0"/>
        <v/>
      </c>
      <c r="B28" t="str">
        <f t="shared" si="1"/>
        <v/>
      </c>
      <c r="C28" s="39" t="str">
        <f>IF(B28="","",ROUNDDOWN(-CUMIPMT(IF(B28&gt;計算シート!$C$123,計算シート!$C$124,IF(B28&gt;計算シート!$C$121,計算シート!$C$122,計算シート!$C$119))/12,($D$9-B28+1)*12,E27,1,12,0),0))</f>
        <v/>
      </c>
      <c r="D28" s="40" t="str">
        <f>IF(B28="","",ROUNDUP(-CUMPRINC(IF(B28&gt;計算シート!$C$123,計算シート!$C$124,IF(B28&gt;計算シート!$C$121,計算シート!$C$122,計算シート!$C$119))/12,($D$9-B28+1)*12,E27,1,12,0),0))</f>
        <v/>
      </c>
      <c r="E28" s="41" t="str">
        <f t="shared" si="2"/>
        <v/>
      </c>
      <c r="F28" s="288" t="str">
        <f>IF($E$12="","",IF(B28="","",ROUNDDOWN(-CUMIPMT(IF(B28&gt;計算シート!$C$123,計算シート!$C$124,IF(B28&gt;計算シート!$C$121,計算シート!$C$122,計算シート!$C$119))/2,($D$9-B28+1)*2,H27,1,2,0),0)))</f>
        <v/>
      </c>
      <c r="G28" s="40" t="str">
        <f>IF($E$12="","",IF(B28="","",ROUNDUP(-CUMPRINC(IF(B28&gt;計算シート!$C$123,計算シート!$C$124,IF(B28&gt;計算シート!$C$121,計算シート!$C$122,計算シート!$C$119))/2,($D$9-B28+1)*2,H27,1,2,0),0)))</f>
        <v/>
      </c>
      <c r="H28" s="41" t="str">
        <f t="shared" si="3"/>
        <v/>
      </c>
      <c r="I28" s="603" t="str">
        <f t="shared" si="4"/>
        <v/>
      </c>
      <c r="J28" s="68"/>
      <c r="K28" s="68"/>
      <c r="L28" s="68"/>
      <c r="M28" s="68"/>
      <c r="N28" s="68"/>
      <c r="O28" s="68"/>
      <c r="P28" s="68"/>
    </row>
    <row r="29" spans="1:16" ht="17.25" customHeight="1">
      <c r="A29" s="31" t="str">
        <f t="shared" si="0"/>
        <v/>
      </c>
      <c r="B29" t="str">
        <f t="shared" si="1"/>
        <v/>
      </c>
      <c r="C29" s="236" t="str">
        <f>IF(B29="","",ROUNDDOWN(-CUMIPMT(IF(B29&gt;計算シート!$C$123,計算シート!$C$124,IF(B29&gt;計算シート!$C$121,計算シート!$C$122,計算シート!$C$119))/12,($D$9-B29+1)*12,E28,1,12,0),0))</f>
        <v/>
      </c>
      <c r="D29" s="45" t="str">
        <f>IF(B29="","",ROUNDUP(-CUMPRINC(IF(B29&gt;計算シート!$C$123,計算シート!$C$124,IF(B29&gt;計算シート!$C$121,計算シート!$C$122,計算シート!$C$119))/12,($D$9-B29+1)*12,E28,1,12,0),0))</f>
        <v/>
      </c>
      <c r="E29" s="46" t="str">
        <f t="shared" si="2"/>
        <v/>
      </c>
      <c r="F29" s="287" t="str">
        <f>IF($E$12="","",IF(B29="","",ROUNDDOWN(-CUMIPMT(IF(B29&gt;計算シート!$C$123,計算シート!$C$124,IF(B29&gt;計算シート!$C$121,計算シート!$C$122,計算シート!$C$119))/2,($D$9-B29+1)*2,H28,1,2,0),0)))</f>
        <v/>
      </c>
      <c r="G29" s="45" t="str">
        <f>IF($E$12="","",IF(B29="","",ROUNDUP(-CUMPRINC(IF(B29&gt;計算シート!$C$123,計算シート!$C$124,IF(B29&gt;計算シート!$C$121,計算シート!$C$122,計算シート!$C$119))/2,($D$9-B29+1)*2,H28,1,2,0),0)))</f>
        <v/>
      </c>
      <c r="H29" s="47" t="str">
        <f t="shared" si="3"/>
        <v/>
      </c>
      <c r="I29" s="604" t="str">
        <f t="shared" si="4"/>
        <v/>
      </c>
      <c r="J29" s="68"/>
      <c r="K29" s="68"/>
      <c r="L29" s="68"/>
      <c r="M29" s="68"/>
      <c r="N29" s="68"/>
      <c r="O29" s="68"/>
      <c r="P29" s="68"/>
    </row>
    <row r="30" spans="1:16" ht="17.25" customHeight="1">
      <c r="A30" s="31" t="str">
        <f t="shared" si="0"/>
        <v/>
      </c>
      <c r="B30" t="str">
        <f t="shared" si="1"/>
        <v/>
      </c>
      <c r="C30" s="32" t="str">
        <f>IF(B30="","",ROUNDDOWN(-CUMIPMT(IF(B30&gt;計算シート!$C$123,計算シート!$C$124,IF(B30&gt;計算シート!$C$121,計算シート!$C$122,計算シート!$C$119))/12,($D$9-B30+1)*12,E29,1,12,0),0))</f>
        <v/>
      </c>
      <c r="D30" s="33" t="str">
        <f>IF(B30="","",ROUNDUP(-CUMPRINC(IF(B30&gt;計算シート!$C$123,計算シート!$C$124,IF(B30&gt;計算シート!$C$121,計算シート!$C$122,計算シート!$C$119))/12,($D$9-B30+1)*12,E29,1,12,0),0))</f>
        <v/>
      </c>
      <c r="E30" s="34" t="str">
        <f t="shared" si="2"/>
        <v/>
      </c>
      <c r="F30" s="38" t="str">
        <f>IF($E$12="","",IF(B30="","",ROUNDDOWN(-CUMIPMT(IF(B30&gt;計算シート!$C$123,計算シート!$C$124,IF(B30&gt;計算シート!$C$121,計算シート!$C$122,計算シート!$C$119))/2,($D$9-B30+1)*2,H29,1,2,0),0)))</f>
        <v/>
      </c>
      <c r="G30" s="33" t="str">
        <f>IF($E$12="","",IF(B30="","",ROUNDUP(-CUMPRINC(IF(B30&gt;計算シート!$C$123,計算シート!$C$124,IF(B30&gt;計算シート!$C$121,計算シート!$C$122,計算シート!$C$119))/2,($D$9-B30+1)*2,H29,1,2,0),0)))</f>
        <v/>
      </c>
      <c r="H30" s="36" t="str">
        <f t="shared" si="3"/>
        <v/>
      </c>
      <c r="I30" s="37" t="str">
        <f t="shared" si="4"/>
        <v/>
      </c>
      <c r="J30" s="68"/>
      <c r="K30" s="68"/>
      <c r="L30" s="68"/>
      <c r="M30" s="68"/>
      <c r="N30" s="68"/>
      <c r="O30" s="68"/>
      <c r="P30" s="68"/>
    </row>
    <row r="31" spans="1:16" ht="17.25" customHeight="1">
      <c r="A31" s="31" t="str">
        <f t="shared" si="0"/>
        <v/>
      </c>
      <c r="B31" t="str">
        <f t="shared" si="1"/>
        <v/>
      </c>
      <c r="C31" s="32" t="str">
        <f>IF(B31="","",ROUNDDOWN(-CUMIPMT(IF(B31&gt;計算シート!$C$123,計算シート!$C$124,IF(B31&gt;計算シート!$C$121,計算シート!$C$122,計算シート!$C$119))/12,($D$9-B31+1)*12,E30,1,12,0),0))</f>
        <v/>
      </c>
      <c r="D31" s="33" t="str">
        <f>IF(B31="","",ROUNDUP(-CUMPRINC(IF(B31&gt;計算シート!$C$123,計算シート!$C$124,IF(B31&gt;計算シート!$C$121,計算シート!$C$122,計算シート!$C$119))/12,($D$9-B31+1)*12,E30,1,12,0),0))</f>
        <v/>
      </c>
      <c r="E31" s="34" t="str">
        <f t="shared" si="2"/>
        <v/>
      </c>
      <c r="F31" s="38" t="str">
        <f>IF($E$12="","",IF(B31="","",ROUNDDOWN(-CUMIPMT(IF(B31&gt;計算シート!$C$123,計算シート!$C$124,IF(B31&gt;計算シート!$C$121,計算シート!$C$122,計算シート!$C$119))/2,($D$9-B31+1)*2,H30,1,2,0),0)))</f>
        <v/>
      </c>
      <c r="G31" s="33" t="str">
        <f>IF($E$12="","",IF(B31="","",ROUNDUP(-CUMPRINC(IF(B31&gt;計算シート!$C$123,計算シート!$C$124,IF(B31&gt;計算シート!$C$121,計算シート!$C$122,計算シート!$C$119))/2,($D$9-B31+1)*2,H30,1,2,0),0)))</f>
        <v/>
      </c>
      <c r="H31" s="36" t="str">
        <f t="shared" si="3"/>
        <v/>
      </c>
      <c r="I31" s="37" t="str">
        <f t="shared" si="4"/>
        <v/>
      </c>
      <c r="J31" s="68"/>
      <c r="K31" s="68"/>
      <c r="L31" s="68"/>
      <c r="M31" s="68"/>
      <c r="N31" s="68"/>
      <c r="O31" s="68"/>
      <c r="P31" s="68"/>
    </row>
    <row r="32" spans="1:16" ht="17.25" customHeight="1">
      <c r="A32" s="31" t="str">
        <f t="shared" si="0"/>
        <v/>
      </c>
      <c r="B32" t="str">
        <f t="shared" si="1"/>
        <v/>
      </c>
      <c r="C32" s="32" t="str">
        <f>IF(B32="","",ROUNDDOWN(-CUMIPMT(IF(B32&gt;計算シート!$C$123,計算シート!$C$124,IF(B32&gt;計算シート!$C$121,計算シート!$C$122,計算シート!$C$119))/12,($D$9-B32+1)*12,E31,1,12,0),0))</f>
        <v/>
      </c>
      <c r="D32" s="33" t="str">
        <f>IF(B32="","",ROUNDUP(-CUMPRINC(IF(B32&gt;計算シート!$C$123,計算シート!$C$124,IF(B32&gt;計算シート!$C$121,計算シート!$C$122,計算シート!$C$119))/12,($D$9-B32+1)*12,E31,1,12,0),0))</f>
        <v/>
      </c>
      <c r="E32" s="34" t="str">
        <f t="shared" si="2"/>
        <v/>
      </c>
      <c r="F32" s="38" t="str">
        <f>IF($E$12="","",IF(B32="","",ROUNDDOWN(-CUMIPMT(IF(B32&gt;計算シート!$C$123,計算シート!$C$124,IF(B32&gt;計算シート!$C$121,計算シート!$C$122,計算シート!$C$119))/2,($D$9-B32+1)*2,H31,1,2,0),0)))</f>
        <v/>
      </c>
      <c r="G32" s="33" t="str">
        <f>IF($E$12="","",IF(B32="","",ROUNDUP(-CUMPRINC(IF(B32&gt;計算シート!$C$123,計算シート!$C$124,IF(B32&gt;計算シート!$C$121,計算シート!$C$122,計算シート!$C$119))/2,($D$9-B32+1)*2,H31,1,2,0),0)))</f>
        <v/>
      </c>
      <c r="H32" s="36" t="str">
        <f t="shared" si="3"/>
        <v/>
      </c>
      <c r="I32" s="37" t="str">
        <f t="shared" si="4"/>
        <v/>
      </c>
      <c r="J32" s="68"/>
      <c r="K32" s="68"/>
      <c r="L32" s="68"/>
      <c r="M32" s="68"/>
      <c r="N32" s="68"/>
      <c r="O32" s="68"/>
      <c r="P32" s="68"/>
    </row>
    <row r="33" spans="1:16" ht="17.25" customHeight="1">
      <c r="A33" s="31" t="str">
        <f t="shared" si="0"/>
        <v/>
      </c>
      <c r="B33" t="str">
        <f t="shared" si="1"/>
        <v/>
      </c>
      <c r="C33" s="39" t="str">
        <f>IF(B33="","",ROUNDDOWN(-CUMIPMT(IF(B33&gt;計算シート!$C$123,計算シート!$C$124,IF(B33&gt;計算シート!$C$121,計算シート!$C$122,計算シート!$C$119))/12,($D$9-B33+1)*12,E32,1,12,0),0))</f>
        <v/>
      </c>
      <c r="D33" s="40" t="str">
        <f>IF(B33="","",ROUNDUP(-CUMPRINC(IF(B33&gt;計算シート!$C$123,計算シート!$C$124,IF(B33&gt;計算シート!$C$121,計算シート!$C$122,計算シート!$C$119))/12,($D$9-B33+1)*12,E32,1,12,0),0))</f>
        <v/>
      </c>
      <c r="E33" s="41" t="str">
        <f t="shared" si="2"/>
        <v/>
      </c>
      <c r="F33" s="288" t="str">
        <f>IF($E$12="","",IF(B33="","",ROUNDDOWN(-CUMIPMT(IF(B33&gt;計算シート!$C$123,計算シート!$C$124,IF(B33&gt;計算シート!$C$121,計算シート!$C$122,計算シート!$C$119))/2,($D$9-B33+1)*2,H32,1,2,0),0)))</f>
        <v/>
      </c>
      <c r="G33" s="40" t="str">
        <f>IF($E$12="","",IF(B33="","",ROUNDUP(-CUMPRINC(IF(B33&gt;計算シート!$C$123,計算シート!$C$124,IF(B33&gt;計算シート!$C$121,計算シート!$C$122,計算シート!$C$119))/2,($D$9-B33+1)*2,H32,1,2,0),0)))</f>
        <v/>
      </c>
      <c r="H33" s="41" t="str">
        <f t="shared" si="3"/>
        <v/>
      </c>
      <c r="I33" s="603" t="str">
        <f t="shared" si="4"/>
        <v/>
      </c>
      <c r="J33" s="68"/>
      <c r="K33" s="68"/>
      <c r="L33" s="68"/>
      <c r="M33" s="68"/>
      <c r="N33" s="68"/>
      <c r="O33" s="68"/>
      <c r="P33" s="68"/>
    </row>
    <row r="34" spans="1:16" ht="17.25" customHeight="1">
      <c r="A34" s="31" t="str">
        <f t="shared" si="0"/>
        <v/>
      </c>
      <c r="B34" t="str">
        <f t="shared" si="1"/>
        <v/>
      </c>
      <c r="C34" s="236" t="str">
        <f>IF(B34="","",ROUNDDOWN(-CUMIPMT(IF(B34&gt;計算シート!$C$123,計算シート!$C$124,IF(B34&gt;計算シート!$C$121,計算シート!$C$122,計算シート!$C$119))/12,($D$9-B34+1)*12,E33,1,12,0),0))</f>
        <v/>
      </c>
      <c r="D34" s="45" t="str">
        <f>IF(B34="","",ROUNDUP(-CUMPRINC(IF(B34&gt;計算シート!$C$123,計算シート!$C$124,IF(B34&gt;計算シート!$C$121,計算シート!$C$122,計算シート!$C$119))/12,($D$9-B34+1)*12,E33,1,12,0),0))</f>
        <v/>
      </c>
      <c r="E34" s="46" t="str">
        <f t="shared" si="2"/>
        <v/>
      </c>
      <c r="F34" s="287" t="str">
        <f>IF($E$12="","",IF(B34="","",ROUNDDOWN(-CUMIPMT(IF(B34&gt;計算シート!$C$123,計算シート!$C$124,IF(B34&gt;計算シート!$C$121,計算シート!$C$122,計算シート!$C$119))/2,($D$9-B34+1)*2,H33,1,2,0),0)))</f>
        <v/>
      </c>
      <c r="G34" s="45" t="str">
        <f>IF($E$12="","",IF(B34="","",ROUNDUP(-CUMPRINC(IF(B34&gt;計算シート!$C$123,計算シート!$C$124,IF(B34&gt;計算シート!$C$121,計算シート!$C$122,計算シート!$C$119))/2,($D$9-B34+1)*2,H33,1,2,0),0)))</f>
        <v/>
      </c>
      <c r="H34" s="47" t="str">
        <f t="shared" si="3"/>
        <v/>
      </c>
      <c r="I34" s="604" t="str">
        <f t="shared" si="4"/>
        <v/>
      </c>
      <c r="J34" s="68"/>
      <c r="K34" s="68"/>
      <c r="L34" s="68"/>
      <c r="M34" s="68"/>
      <c r="N34" s="68"/>
      <c r="O34" s="68"/>
      <c r="P34" s="68"/>
    </row>
    <row r="35" spans="1:16" ht="17.25" customHeight="1">
      <c r="A35" s="31" t="str">
        <f t="shared" si="0"/>
        <v/>
      </c>
      <c r="B35" t="str">
        <f t="shared" si="1"/>
        <v/>
      </c>
      <c r="C35" s="32" t="str">
        <f>IF(B35="","",ROUNDDOWN(-CUMIPMT(IF(B35&gt;計算シート!$C$123,計算シート!$C$124,IF(B35&gt;計算シート!$C$121,計算シート!$C$122,計算シート!$C$119))/12,($D$9-B35+1)*12,E34,1,12,0),0))</f>
        <v/>
      </c>
      <c r="D35" s="33" t="str">
        <f>IF(B35="","",ROUNDUP(-CUMPRINC(IF(B35&gt;計算シート!$C$123,計算シート!$C$124,IF(B35&gt;計算シート!$C$121,計算シート!$C$122,計算シート!$C$119))/12,($D$9-B35+1)*12,E34,1,12,0),0))</f>
        <v/>
      </c>
      <c r="E35" s="34" t="str">
        <f t="shared" si="2"/>
        <v/>
      </c>
      <c r="F35" s="38" t="str">
        <f>IF($E$12="","",IF(B35="","",ROUNDDOWN(-CUMIPMT(IF(B35&gt;計算シート!$C$123,計算シート!$C$124,IF(B35&gt;計算シート!$C$121,計算シート!$C$122,計算シート!$C$119))/2,($D$9-B35+1)*2,H34,1,2,0),0)))</f>
        <v/>
      </c>
      <c r="G35" s="33" t="str">
        <f>IF($E$12="","",IF(B35="","",ROUNDUP(-CUMPRINC(IF(B35&gt;計算シート!$C$123,計算シート!$C$124,IF(B35&gt;計算シート!$C$121,計算シート!$C$122,計算シート!$C$119))/2,($D$9-B35+1)*2,H34,1,2,0),0)))</f>
        <v/>
      </c>
      <c r="H35" s="36" t="str">
        <f t="shared" si="3"/>
        <v/>
      </c>
      <c r="I35" s="37" t="str">
        <f t="shared" si="4"/>
        <v/>
      </c>
      <c r="J35" s="68"/>
      <c r="K35" s="68"/>
      <c r="L35" s="68"/>
      <c r="M35" s="68"/>
      <c r="N35" s="68"/>
      <c r="O35" s="68"/>
      <c r="P35" s="68"/>
    </row>
    <row r="36" spans="1:16" ht="17.25" customHeight="1">
      <c r="A36" s="31" t="str">
        <f t="shared" si="0"/>
        <v/>
      </c>
      <c r="B36" t="str">
        <f t="shared" si="1"/>
        <v/>
      </c>
      <c r="C36" s="32" t="str">
        <f>IF(B36="","",ROUNDDOWN(-CUMIPMT(IF(B36&gt;計算シート!$C$123,計算シート!$C$124,IF(B36&gt;計算シート!$C$121,計算シート!$C$122,計算シート!$C$119))/12,($D$9-B36+1)*12,E35,1,12,0),0))</f>
        <v/>
      </c>
      <c r="D36" s="33" t="str">
        <f>IF(B36="","",ROUNDUP(-CUMPRINC(IF(B36&gt;計算シート!$C$123,計算シート!$C$124,IF(B36&gt;計算シート!$C$121,計算シート!$C$122,計算シート!$C$119))/12,($D$9-B36+1)*12,E35,1,12,0),0))</f>
        <v/>
      </c>
      <c r="E36" s="34" t="str">
        <f t="shared" si="2"/>
        <v/>
      </c>
      <c r="F36" s="38" t="str">
        <f>IF($E$12="","",IF(B36="","",ROUNDDOWN(-CUMIPMT(IF(B36&gt;計算シート!$C$123,計算シート!$C$124,IF(B36&gt;計算シート!$C$121,計算シート!$C$122,計算シート!$C$119))/2,($D$9-B36+1)*2,H35,1,2,0),0)))</f>
        <v/>
      </c>
      <c r="G36" s="33" t="str">
        <f>IF($E$12="","",IF(B36="","",ROUNDUP(-CUMPRINC(IF(B36&gt;計算シート!$C$123,計算シート!$C$124,IF(B36&gt;計算シート!$C$121,計算シート!$C$122,計算シート!$C$119))/2,($D$9-B36+1)*2,H35,1,2,0),0)))</f>
        <v/>
      </c>
      <c r="H36" s="36" t="str">
        <f t="shared" si="3"/>
        <v/>
      </c>
      <c r="I36" s="37" t="str">
        <f t="shared" si="4"/>
        <v/>
      </c>
      <c r="J36" s="68"/>
      <c r="K36" s="68"/>
      <c r="L36" s="68"/>
      <c r="M36" s="68"/>
      <c r="N36" s="68"/>
      <c r="O36" s="68"/>
      <c r="P36" s="68"/>
    </row>
    <row r="37" spans="1:16" ht="17.25" customHeight="1">
      <c r="A37" s="31" t="str">
        <f t="shared" si="0"/>
        <v/>
      </c>
      <c r="B37" t="str">
        <f t="shared" si="1"/>
        <v/>
      </c>
      <c r="C37" s="32" t="str">
        <f>IF(B37="","",ROUNDDOWN(-CUMIPMT(IF(B37&gt;計算シート!$C$123,計算シート!$C$124,IF(B37&gt;計算シート!$C$121,計算シート!$C$122,計算シート!$C$119))/12,($D$9-B37+1)*12,E36,1,12,0),0))</f>
        <v/>
      </c>
      <c r="D37" s="33" t="str">
        <f>IF(B37="","",ROUNDUP(-CUMPRINC(IF(B37&gt;計算シート!$C$123,計算シート!$C$124,IF(B37&gt;計算シート!$C$121,計算シート!$C$122,計算シート!$C$119))/12,($D$9-B37+1)*12,E36,1,12,0),0))</f>
        <v/>
      </c>
      <c r="E37" s="34" t="str">
        <f t="shared" si="2"/>
        <v/>
      </c>
      <c r="F37" s="38" t="str">
        <f>IF($E$12="","",IF(B37="","",ROUNDDOWN(-CUMIPMT(IF(B37&gt;計算シート!$C$123,計算シート!$C$124,IF(B37&gt;計算シート!$C$121,計算シート!$C$122,計算シート!$C$119))/2,($D$9-B37+1)*2,H36,1,2,0),0)))</f>
        <v/>
      </c>
      <c r="G37" s="33" t="str">
        <f>IF($E$12="","",IF(B37="","",ROUNDUP(-CUMPRINC(IF(B37&gt;計算シート!$C$123,計算シート!$C$124,IF(B37&gt;計算シート!$C$121,計算シート!$C$122,計算シート!$C$119))/2,($D$9-B37+1)*2,H36,1,2,0),0)))</f>
        <v/>
      </c>
      <c r="H37" s="36" t="str">
        <f t="shared" si="3"/>
        <v/>
      </c>
      <c r="I37" s="37" t="str">
        <f t="shared" si="4"/>
        <v/>
      </c>
      <c r="J37" s="68"/>
      <c r="K37" s="68"/>
      <c r="L37" s="68"/>
      <c r="M37" s="68"/>
      <c r="N37" s="68"/>
      <c r="O37" s="68"/>
      <c r="P37" s="68"/>
    </row>
    <row r="38" spans="1:16" ht="17.25" customHeight="1">
      <c r="A38" s="31" t="str">
        <f t="shared" si="0"/>
        <v/>
      </c>
      <c r="B38" t="str">
        <f t="shared" si="1"/>
        <v/>
      </c>
      <c r="C38" s="39" t="str">
        <f>IF(B38="","",ROUNDDOWN(-CUMIPMT(IF(B38&gt;計算シート!$C$123,計算シート!$C$124,IF(B38&gt;計算シート!$C$121,計算シート!$C$122,計算シート!$C$119))/12,($D$9-B38+1)*12,E37,1,12,0),0))</f>
        <v/>
      </c>
      <c r="D38" s="40" t="str">
        <f>IF(B38="","",ROUNDUP(-CUMPRINC(IF(B38&gt;計算シート!$C$123,計算シート!$C$124,IF(B38&gt;計算シート!$C$121,計算シート!$C$122,計算シート!$C$119))/12,($D$9-B38+1)*12,E37,1,12,0),0))</f>
        <v/>
      </c>
      <c r="E38" s="41" t="str">
        <f t="shared" si="2"/>
        <v/>
      </c>
      <c r="F38" s="288" t="str">
        <f>IF($E$12="","",IF(B38="","",ROUNDDOWN(-CUMIPMT(IF(B38&gt;計算シート!$C$123,計算シート!$C$124,IF(B38&gt;計算シート!$C$121,計算シート!$C$122,計算シート!$C$119))/2,($D$9-B38+1)*2,H37,1,2,0),0)))</f>
        <v/>
      </c>
      <c r="G38" s="40" t="str">
        <f>IF($E$12="","",IF(B38="","",ROUNDUP(-CUMPRINC(IF(B38&gt;計算シート!$C$123,計算シート!$C$124,IF(B38&gt;計算シート!$C$121,計算シート!$C$122,計算シート!$C$119))/2,($D$9-B38+1)*2,H37,1,2,0),0)))</f>
        <v/>
      </c>
      <c r="H38" s="41" t="str">
        <f t="shared" si="3"/>
        <v/>
      </c>
      <c r="I38" s="603" t="str">
        <f t="shared" si="4"/>
        <v/>
      </c>
      <c r="J38" s="68"/>
      <c r="K38" s="68"/>
      <c r="L38" s="68"/>
      <c r="M38" s="68"/>
      <c r="N38" s="68"/>
      <c r="O38" s="68"/>
      <c r="P38" s="68"/>
    </row>
    <row r="39" spans="1:16" ht="17.25" customHeight="1">
      <c r="A39" s="31" t="str">
        <f t="shared" si="0"/>
        <v/>
      </c>
      <c r="B39" t="str">
        <f t="shared" si="1"/>
        <v/>
      </c>
      <c r="C39" s="236" t="str">
        <f>IF(B39="","",ROUNDDOWN(-CUMIPMT(IF(B39&gt;計算シート!$C$123,計算シート!$C$124,IF(B39&gt;計算シート!$C$121,計算シート!$C$122,計算シート!$C$119))/12,($D$9-B39+1)*12,E38,1,12,0),0))</f>
        <v/>
      </c>
      <c r="D39" s="45" t="str">
        <f>IF(B39="","",ROUNDUP(-CUMPRINC(IF(B39&gt;計算シート!$C$123,計算シート!$C$124,IF(B39&gt;計算シート!$C$121,計算シート!$C$122,計算シート!$C$119))/12,($D$9-B39+1)*12,E38,1,12,0),0))</f>
        <v/>
      </c>
      <c r="E39" s="46" t="str">
        <f t="shared" si="2"/>
        <v/>
      </c>
      <c r="F39" s="287" t="str">
        <f>IF($E$12="","",IF(B39="","",ROUNDDOWN(-CUMIPMT(IF(B39&gt;計算シート!$C$123,計算シート!$C$124,IF(B39&gt;計算シート!$C$121,計算シート!$C$122,計算シート!$C$119))/2,($D$9-B39+1)*2,H38,1,2,0),0)))</f>
        <v/>
      </c>
      <c r="G39" s="45" t="str">
        <f>IF($E$12="","",IF(B39="","",ROUNDUP(-CUMPRINC(IF(B39&gt;計算シート!$C$123,計算シート!$C$124,IF(B39&gt;計算シート!$C$121,計算シート!$C$122,計算シート!$C$119))/2,($D$9-B39+1)*2,H38,1,2,0),0)))</f>
        <v/>
      </c>
      <c r="H39" s="47" t="str">
        <f t="shared" si="3"/>
        <v/>
      </c>
      <c r="I39" s="604" t="str">
        <f t="shared" si="4"/>
        <v/>
      </c>
      <c r="J39" s="68"/>
      <c r="K39" s="68"/>
      <c r="L39" s="68"/>
      <c r="M39" s="68"/>
      <c r="N39" s="68"/>
      <c r="O39" s="68"/>
      <c r="P39" s="68"/>
    </row>
    <row r="40" spans="1:16" ht="17.25" customHeight="1">
      <c r="A40" s="31" t="str">
        <f t="shared" si="0"/>
        <v/>
      </c>
      <c r="B40" t="str">
        <f t="shared" si="1"/>
        <v/>
      </c>
      <c r="C40" s="32" t="str">
        <f>IF(B40="","",ROUNDDOWN(-CUMIPMT(IF(B40&gt;計算シート!$C$123,計算シート!$C$124,IF(B40&gt;計算シート!$C$121,計算シート!$C$122,計算シート!$C$119))/12,($D$9-B40+1)*12,E39,1,12,0),0))</f>
        <v/>
      </c>
      <c r="D40" s="33" t="str">
        <f>IF(B40="","",ROUNDUP(-CUMPRINC(IF(B40&gt;計算シート!$C$123,計算シート!$C$124,IF(B40&gt;計算シート!$C$121,計算シート!$C$122,計算シート!$C$119))/12,($D$9-B40+1)*12,E39,1,12,0),0))</f>
        <v/>
      </c>
      <c r="E40" s="34" t="str">
        <f t="shared" si="2"/>
        <v/>
      </c>
      <c r="F40" s="38" t="str">
        <f>IF($E$12="","",IF(B40="","",ROUNDDOWN(-CUMIPMT(IF(B40&gt;計算シート!$C$123,計算シート!$C$124,IF(B40&gt;計算シート!$C$121,計算シート!$C$122,計算シート!$C$119))/2,($D$9-B40+1)*2,H39,1,2,0),0)))</f>
        <v/>
      </c>
      <c r="G40" s="33" t="str">
        <f>IF($E$12="","",IF(B40="","",ROUNDUP(-CUMPRINC(IF(B40&gt;計算シート!$C$123,計算シート!$C$124,IF(B40&gt;計算シート!$C$121,計算シート!$C$122,計算シート!$C$119))/2,($D$9-B40+1)*2,H39,1,2,0),0)))</f>
        <v/>
      </c>
      <c r="H40" s="36" t="str">
        <f t="shared" si="3"/>
        <v/>
      </c>
      <c r="I40" s="37" t="str">
        <f t="shared" si="4"/>
        <v/>
      </c>
      <c r="J40" s="68"/>
      <c r="K40" s="68"/>
      <c r="L40" s="68"/>
      <c r="M40" s="68"/>
      <c r="N40" s="68"/>
      <c r="O40" s="68"/>
      <c r="P40" s="68"/>
    </row>
    <row r="41" spans="1:16" ht="17.25" customHeight="1">
      <c r="A41" s="31" t="str">
        <f t="shared" si="0"/>
        <v/>
      </c>
      <c r="B41" t="str">
        <f t="shared" si="1"/>
        <v/>
      </c>
      <c r="C41" s="32" t="str">
        <f>IF(B41="","",ROUNDDOWN(-CUMIPMT(IF(B41&gt;計算シート!$C$123,計算シート!$C$124,IF(B41&gt;計算シート!$C$121,計算シート!$C$122,計算シート!$C$119))/12,($D$9-B41+1)*12,E40,1,12,0),0))</f>
        <v/>
      </c>
      <c r="D41" s="33" t="str">
        <f>IF(B41="","",ROUNDUP(-CUMPRINC(IF(B41&gt;計算シート!$C$123,計算シート!$C$124,IF(B41&gt;計算シート!$C$121,計算シート!$C$122,計算シート!$C$119))/12,($D$9-B41+1)*12,E40,1,12,0),0))</f>
        <v/>
      </c>
      <c r="E41" s="34" t="str">
        <f t="shared" si="2"/>
        <v/>
      </c>
      <c r="F41" s="38" t="str">
        <f>IF($E$12="","",IF(B41="","",ROUNDDOWN(-CUMIPMT(IF(B41&gt;計算シート!$C$123,計算シート!$C$124,IF(B41&gt;計算シート!$C$121,計算シート!$C$122,計算シート!$C$119))/2,($D$9-B41+1)*2,H40,1,2,0),0)))</f>
        <v/>
      </c>
      <c r="G41" s="33" t="str">
        <f>IF($E$12="","",IF(B41="","",ROUNDUP(-CUMPRINC(IF(B41&gt;計算シート!$C$123,計算シート!$C$124,IF(B41&gt;計算シート!$C$121,計算シート!$C$122,計算シート!$C$119))/2,($D$9-B41+1)*2,H40,1,2,0),0)))</f>
        <v/>
      </c>
      <c r="H41" s="36" t="str">
        <f t="shared" si="3"/>
        <v/>
      </c>
      <c r="I41" s="37" t="str">
        <f t="shared" si="4"/>
        <v/>
      </c>
      <c r="J41" s="68"/>
      <c r="K41" s="68"/>
      <c r="L41" s="68"/>
      <c r="M41" s="68"/>
      <c r="N41" s="68"/>
      <c r="O41" s="68"/>
      <c r="P41" s="68"/>
    </row>
    <row r="42" spans="1:16" ht="17.25" customHeight="1">
      <c r="A42" s="31" t="str">
        <f t="shared" si="0"/>
        <v/>
      </c>
      <c r="B42" t="str">
        <f t="shared" si="1"/>
        <v/>
      </c>
      <c r="C42" s="32" t="str">
        <f>IF(B42="","",ROUNDDOWN(-CUMIPMT(IF(B42&gt;計算シート!$C$123,計算シート!$C$124,IF(B42&gt;計算シート!$C$121,計算シート!$C$122,計算シート!$C$119))/12,($D$9-B42+1)*12,E41,1,12,0),0))</f>
        <v/>
      </c>
      <c r="D42" s="33" t="str">
        <f>IF(B42="","",ROUNDUP(-CUMPRINC(IF(B42&gt;計算シート!$C$123,計算シート!$C$124,IF(B42&gt;計算シート!$C$121,計算シート!$C$122,計算シート!$C$119))/12,($D$9-B42+1)*12,E41,1,12,0),0))</f>
        <v/>
      </c>
      <c r="E42" s="34" t="str">
        <f t="shared" si="2"/>
        <v/>
      </c>
      <c r="F42" s="38" t="str">
        <f>IF($E$12="","",IF(B42="","",ROUNDDOWN(-CUMIPMT(IF(B42&gt;計算シート!$C$123,計算シート!$C$124,IF(B42&gt;計算シート!$C$121,計算シート!$C$122,計算シート!$C$119))/2,($D$9-B42+1)*2,H41,1,2,0),0)))</f>
        <v/>
      </c>
      <c r="G42" s="33" t="str">
        <f>IF($E$12="","",IF(B42="","",ROUNDUP(-CUMPRINC(IF(B42&gt;計算シート!$C$123,計算シート!$C$124,IF(B42&gt;計算シート!$C$121,計算シート!$C$122,計算シート!$C$119))/2,($D$9-B42+1)*2,H41,1,2,0),0)))</f>
        <v/>
      </c>
      <c r="H42" s="36" t="str">
        <f t="shared" si="3"/>
        <v/>
      </c>
      <c r="I42" s="37" t="str">
        <f t="shared" si="4"/>
        <v/>
      </c>
      <c r="J42" s="68"/>
      <c r="K42" s="68"/>
      <c r="L42" s="68"/>
      <c r="M42" s="68"/>
      <c r="N42" s="68"/>
      <c r="O42" s="68"/>
      <c r="P42" s="68"/>
    </row>
    <row r="43" spans="1:16" ht="17.25" customHeight="1">
      <c r="A43" s="31" t="str">
        <f t="shared" si="0"/>
        <v/>
      </c>
      <c r="B43" t="str">
        <f t="shared" si="1"/>
        <v/>
      </c>
      <c r="C43" s="39" t="str">
        <f>IF(B43="","",ROUNDDOWN(-CUMIPMT(IF(B43&gt;計算シート!$C$123,計算シート!$C$124,IF(B43&gt;計算シート!$C$121,計算シート!$C$122,計算シート!$C$119))/12,($D$9-B43+1)*12,E42,1,12,0),0))</f>
        <v/>
      </c>
      <c r="D43" s="40" t="str">
        <f>IF(B43="","",ROUNDUP(-CUMPRINC(IF(B43&gt;計算シート!$C$123,計算シート!$C$124,IF(B43&gt;計算シート!$C$121,計算シート!$C$122,計算シート!$C$119))/12,($D$9-B43+1)*12,E42,1,12,0),0))</f>
        <v/>
      </c>
      <c r="E43" s="41" t="str">
        <f t="shared" si="2"/>
        <v/>
      </c>
      <c r="F43" s="288" t="str">
        <f>IF($E$12="","",IF(B43="","",ROUNDDOWN(-CUMIPMT(IF(B43&gt;計算シート!$C$123,計算シート!$C$124,IF(B43&gt;計算シート!$C$121,計算シート!$C$122,計算シート!$C$119))/2,($D$9-B43+1)*2,H42,1,2,0),0)))</f>
        <v/>
      </c>
      <c r="G43" s="40" t="str">
        <f>IF($E$12="","",IF(B43="","",ROUNDUP(-CUMPRINC(IF(B43&gt;計算シート!$C$123,計算シート!$C$124,IF(B43&gt;計算シート!$C$121,計算シート!$C$122,計算シート!$C$119))/2,($D$9-B43+1)*2,H42,1,2,0),0)))</f>
        <v/>
      </c>
      <c r="H43" s="41" t="str">
        <f t="shared" si="3"/>
        <v/>
      </c>
      <c r="I43" s="603" t="str">
        <f t="shared" si="4"/>
        <v/>
      </c>
      <c r="J43" s="68"/>
      <c r="K43" s="68"/>
      <c r="L43" s="68"/>
      <c r="M43" s="68"/>
      <c r="N43" s="68"/>
      <c r="O43" s="68"/>
      <c r="P43" s="68"/>
    </row>
    <row r="44" spans="1:16" ht="17.25" customHeight="1">
      <c r="A44" s="31" t="str">
        <f t="shared" si="0"/>
        <v/>
      </c>
      <c r="B44" t="str">
        <f t="shared" si="1"/>
        <v/>
      </c>
      <c r="C44" s="236" t="str">
        <f>IF(B44="","",ROUNDDOWN(-CUMIPMT(IF(B44&gt;計算シート!$C$123,計算シート!$C$124,IF(B44&gt;計算シート!$C$121,計算シート!$C$122,計算シート!$C$119))/12,($D$9-B44+1)*12,E43,1,12,0),0))</f>
        <v/>
      </c>
      <c r="D44" s="45" t="str">
        <f>IF(B44="","",ROUNDUP(-CUMPRINC(IF(B44&gt;計算シート!$C$123,計算シート!$C$124,IF(B44&gt;計算シート!$C$121,計算シート!$C$122,計算シート!$C$119))/12,($D$9-B44+1)*12,E43,1,12,0),0))</f>
        <v/>
      </c>
      <c r="E44" s="54" t="str">
        <f t="shared" si="2"/>
        <v/>
      </c>
      <c r="F44" s="287" t="str">
        <f>IF($E$12="","",IF(B44="","",ROUNDDOWN(-CUMIPMT(IF(B44&gt;計算シート!$C$123,計算シート!$C$124,IF(B44&gt;計算シート!$C$121,計算シート!$C$122,計算シート!$C$119))/2,($D$9-B44+1)*2,H43,1,2,0),0)))</f>
        <v/>
      </c>
      <c r="G44" s="45" t="str">
        <f>IF($E$12="","",IF(B44="","",ROUNDUP(-CUMPRINC(IF(B44&gt;計算シート!$C$123,計算シート!$C$124,IF(B44&gt;計算シート!$C$121,計算シート!$C$122,計算シート!$C$119))/2,($D$9-B44+1)*2,H43,1,2,0),0)))</f>
        <v/>
      </c>
      <c r="H44" s="62" t="str">
        <f t="shared" si="3"/>
        <v/>
      </c>
      <c r="I44" s="605" t="str">
        <f t="shared" si="4"/>
        <v/>
      </c>
      <c r="J44" s="68"/>
      <c r="K44" s="68"/>
      <c r="L44" s="68"/>
      <c r="M44" s="68"/>
      <c r="N44" s="68"/>
      <c r="O44" s="68"/>
      <c r="P44" s="68"/>
    </row>
    <row r="45" spans="1:16" ht="17.25" customHeight="1">
      <c r="A45" s="31" t="str">
        <f t="shared" si="0"/>
        <v/>
      </c>
      <c r="B45" t="str">
        <f t="shared" si="1"/>
        <v/>
      </c>
      <c r="C45" s="32" t="str">
        <f>IF(B45="","",ROUNDDOWN(-CUMIPMT(IF(B45&gt;計算シート!$C$123,計算シート!$C$124,IF(B45&gt;計算シート!$C$121,計算シート!$C$122,計算シート!$C$119))/12,($D$9-B45+1)*12,E44,1,12,0),0))</f>
        <v/>
      </c>
      <c r="D45" s="33" t="str">
        <f>IF(B45="","",ROUNDUP(-CUMPRINC(IF(B45&gt;計算シート!$C$123,計算シート!$C$124,IF(B45&gt;計算シート!$C$121,計算シート!$C$122,計算シート!$C$119))/12,($D$9-B45+1)*12,E44,1,12,0),0))</f>
        <v/>
      </c>
      <c r="E45" s="54" t="str">
        <f t="shared" si="2"/>
        <v/>
      </c>
      <c r="F45" s="38" t="str">
        <f>IF($E$12="","",IF(B45="","",ROUNDDOWN(-CUMIPMT(IF(B45&gt;計算シート!$C$123,計算シート!$C$124,IF(B45&gt;計算シート!$C$121,計算シート!$C$122,計算シート!$C$119))/2,($D$9-B45+1)*2,H44,1,2,0),0)))</f>
        <v/>
      </c>
      <c r="G45" s="33" t="str">
        <f>IF($E$12="","",IF(B45="","",ROUNDUP(-CUMPRINC(IF(B45&gt;計算シート!$C$123,計算シート!$C$124,IF(B45&gt;計算シート!$C$121,計算シート!$C$122,計算シート!$C$119))/2,($D$9-B45+1)*2,H44,1,2,0),0)))</f>
        <v/>
      </c>
      <c r="H45" s="55" t="str">
        <f t="shared" si="3"/>
        <v/>
      </c>
      <c r="I45" s="56" t="str">
        <f t="shared" si="4"/>
        <v/>
      </c>
      <c r="J45" s="68"/>
      <c r="K45" s="68"/>
      <c r="L45" s="68"/>
      <c r="M45" s="68"/>
      <c r="N45" s="68"/>
      <c r="O45" s="68"/>
      <c r="P45" s="68"/>
    </row>
    <row r="46" spans="1:16" ht="17.25" customHeight="1">
      <c r="A46" s="31" t="str">
        <f t="shared" si="0"/>
        <v/>
      </c>
      <c r="B46" t="str">
        <f t="shared" si="1"/>
        <v/>
      </c>
      <c r="C46" s="32" t="str">
        <f>IF(B46="","",ROUNDDOWN(-CUMIPMT(IF(B46&gt;計算シート!$C$123,計算シート!$C$124,IF(B46&gt;計算シート!$C$121,計算シート!$C$122,計算シート!$C$119))/12,($D$9-B46+1)*12,E45,1,12,0),0))</f>
        <v/>
      </c>
      <c r="D46" s="33" t="str">
        <f>IF(B46="","",ROUNDUP(-CUMPRINC(IF(B46&gt;計算シート!$C$123,計算シート!$C$124,IF(B46&gt;計算シート!$C$121,計算シート!$C$122,計算シート!$C$119))/12,($D$9-B46+1)*12,E45,1,12,0),0))</f>
        <v/>
      </c>
      <c r="E46" s="54" t="str">
        <f t="shared" si="2"/>
        <v/>
      </c>
      <c r="F46" s="38" t="str">
        <f>IF($E$12="","",IF(B46="","",ROUNDDOWN(-CUMIPMT(IF(B46&gt;計算シート!$C$123,計算シート!$C$124,IF(B46&gt;計算シート!$C$121,計算シート!$C$122,計算シート!$C$119))/2,($D$9-B46+1)*2,H45,1,2,0),0)))</f>
        <v/>
      </c>
      <c r="G46" s="33" t="str">
        <f>IF($E$12="","",IF(B46="","",ROUNDUP(-CUMPRINC(IF(B46&gt;計算シート!$C$123,計算シート!$C$124,IF(B46&gt;計算シート!$C$121,計算シート!$C$122,計算シート!$C$119))/2,($D$9-B46+1)*2,H45,1,2,0),0)))</f>
        <v/>
      </c>
      <c r="H46" s="55" t="str">
        <f t="shared" si="3"/>
        <v/>
      </c>
      <c r="I46" s="56" t="str">
        <f t="shared" si="4"/>
        <v/>
      </c>
      <c r="J46" s="68"/>
      <c r="K46" s="68"/>
      <c r="L46" s="68"/>
      <c r="M46" s="68"/>
      <c r="N46" s="68"/>
      <c r="O46" s="68"/>
      <c r="P46" s="68"/>
    </row>
    <row r="47" spans="1:16" ht="17.25" customHeight="1">
      <c r="A47" s="31" t="str">
        <f t="shared" si="0"/>
        <v/>
      </c>
      <c r="B47" t="str">
        <f t="shared" si="1"/>
        <v/>
      </c>
      <c r="C47" s="32" t="str">
        <f>IF(B47="","",ROUNDDOWN(-CUMIPMT(IF(B47&gt;計算シート!$C$123,計算シート!$C$124,IF(B47&gt;計算シート!$C$121,計算シート!$C$122,計算シート!$C$119))/12,($D$9-B47+1)*12,E46,1,12,0),0))</f>
        <v/>
      </c>
      <c r="D47" s="33" t="str">
        <f>IF(B47="","",ROUNDUP(-CUMPRINC(IF(B47&gt;計算シート!$C$123,計算シート!$C$124,IF(B47&gt;計算シート!$C$121,計算シート!$C$122,計算シート!$C$119))/12,($D$9-B47+1)*12,E46,1,12,0),0))</f>
        <v/>
      </c>
      <c r="E47" s="54" t="str">
        <f t="shared" si="2"/>
        <v/>
      </c>
      <c r="F47" s="38" t="str">
        <f>IF($E$12="","",IF(B47="","",ROUNDDOWN(-CUMIPMT(IF(B47&gt;計算シート!$C$123,計算シート!$C$124,IF(B47&gt;計算シート!$C$121,計算シート!$C$122,計算シート!$C$119))/2,($D$9-B47+1)*2,H46,1,2,0),0)))</f>
        <v/>
      </c>
      <c r="G47" s="33" t="str">
        <f>IF($E$12="","",IF(B47="","",ROUNDUP(-CUMPRINC(IF(B47&gt;計算シート!$C$123,計算シート!$C$124,IF(B47&gt;計算シート!$C$121,計算シート!$C$122,計算シート!$C$119))/2,($D$9-B47+1)*2,H46,1,2,0),0)))</f>
        <v/>
      </c>
      <c r="H47" s="54" t="str">
        <f t="shared" si="3"/>
        <v/>
      </c>
      <c r="I47" s="56" t="str">
        <f t="shared" si="4"/>
        <v/>
      </c>
      <c r="J47" s="68"/>
      <c r="K47" s="68"/>
      <c r="L47" s="68"/>
      <c r="M47" s="68"/>
      <c r="N47" s="68"/>
      <c r="O47" s="68"/>
      <c r="P47" s="68"/>
    </row>
    <row r="48" spans="1:16" ht="17.25" customHeight="1">
      <c r="A48" s="31" t="str">
        <f t="shared" si="0"/>
        <v/>
      </c>
      <c r="B48" t="str">
        <f t="shared" si="1"/>
        <v/>
      </c>
      <c r="C48" s="39" t="str">
        <f>IF(B48="","",ROUNDDOWN(-CUMIPMT(IF(B48&gt;計算シート!$C$123,計算シート!$C$124,IF(B48&gt;計算シート!$C$121,計算シート!$C$122,計算シート!$C$119))/12,($D$9-B48+1)*12,E47,1,12,0),0))</f>
        <v/>
      </c>
      <c r="D48" s="40" t="str">
        <f>IF(B48="","",ROUNDUP(-CUMPRINC(IF(B48&gt;計算シート!$C$123,計算シート!$C$124,IF(B48&gt;計算シート!$C$121,計算シート!$C$122,計算シート!$C$119))/12,($D$9-B48+1)*12,E47,1,12,0),0))</f>
        <v/>
      </c>
      <c r="E48" s="58" t="str">
        <f t="shared" si="2"/>
        <v/>
      </c>
      <c r="F48" s="288" t="str">
        <f>IF($E$12="","",IF(B48="","",ROUNDDOWN(-CUMIPMT(IF(B48&gt;計算シート!$C$123,計算シート!$C$124,IF(B48&gt;計算シート!$C$121,計算シート!$C$122,計算シート!$C$119))/2,($D$9-B48+1)*2,H47,1,2,0),0)))</f>
        <v/>
      </c>
      <c r="G48" s="40" t="str">
        <f>IF($E$12="","",IF(B48="","",ROUNDUP(-CUMPRINC(IF(B48&gt;計算シート!$C$123,計算シート!$C$124,IF(B48&gt;計算シート!$C$121,計算シート!$C$122,計算シート!$C$119))/2,($D$9-B48+1)*2,H47,1,2,0),0)))</f>
        <v/>
      </c>
      <c r="H48" s="58" t="str">
        <f t="shared" si="3"/>
        <v/>
      </c>
      <c r="I48" s="606" t="str">
        <f t="shared" si="4"/>
        <v/>
      </c>
      <c r="J48" s="68"/>
      <c r="K48" s="68"/>
      <c r="L48" s="68"/>
      <c r="M48" s="68"/>
      <c r="N48" s="68"/>
      <c r="O48" s="68"/>
      <c r="P48" s="68"/>
    </row>
    <row r="49" spans="1:16" ht="17.25" customHeight="1">
      <c r="A49" s="31" t="str">
        <f t="shared" si="0"/>
        <v/>
      </c>
      <c r="B49" t="str">
        <f t="shared" si="1"/>
        <v/>
      </c>
      <c r="C49" s="236" t="str">
        <f>IF(B49="","",ROUNDDOWN(-CUMIPMT(IF(B49&gt;計算シート!$C$123,計算シート!$C$124,IF(B49&gt;計算シート!$C$121,計算シート!$C$122,計算シート!$C$119))/12,($D$9-B49+1)*12,E48,1,12,0),0))</f>
        <v/>
      </c>
      <c r="D49" s="45" t="str">
        <f>IF(B49="","",ROUNDUP(-CUMPRINC(IF(B49&gt;計算シート!$C$123,計算シート!$C$124,IF(B49&gt;計算シート!$C$121,計算シート!$C$122,計算シート!$C$119))/12,($D$9-B49+1)*12,E48,1,12,0),0))</f>
        <v/>
      </c>
      <c r="E49" s="61" t="str">
        <f t="shared" si="2"/>
        <v/>
      </c>
      <c r="F49" s="287" t="str">
        <f>IF($E$12="","",IF(B49="","",ROUNDDOWN(-CUMIPMT(IF(B49&gt;計算シート!$C$123,計算シート!$C$124,IF(B49&gt;計算シート!$C$121,計算シート!$C$122,計算シート!$C$119))/2,($D$9-B49+1)*2,H48,1,2,0),0)))</f>
        <v/>
      </c>
      <c r="G49" s="45" t="str">
        <f>IF($E$12="","",IF(B49="","",ROUNDUP(-CUMPRINC(IF(B49&gt;計算シート!$C$123,計算シート!$C$124,IF(B49&gt;計算シート!$C$121,計算シート!$C$122,計算シート!$C$119))/2,($D$9-B49+1)*2,H48,1,2,0),0)))</f>
        <v/>
      </c>
      <c r="H49" s="62" t="str">
        <f t="shared" si="3"/>
        <v/>
      </c>
      <c r="I49" s="63" t="str">
        <f t="shared" si="4"/>
        <v/>
      </c>
      <c r="J49" s="68"/>
      <c r="K49" s="68"/>
      <c r="L49" s="68"/>
      <c r="M49" s="68"/>
      <c r="N49" s="68"/>
      <c r="O49" s="68"/>
      <c r="P49" s="68"/>
    </row>
    <row r="50" spans="1:16" ht="17.25" customHeight="1">
      <c r="A50" s="31" t="str">
        <f t="shared" si="0"/>
        <v/>
      </c>
      <c r="B50" t="str">
        <f t="shared" si="1"/>
        <v/>
      </c>
      <c r="C50" s="32" t="str">
        <f>IF(B50="","",ROUNDDOWN(-CUMIPMT(IF(B50&gt;計算シート!$C$123,計算シート!$C$124,IF(B50&gt;計算シート!$C$121,計算シート!$C$122,計算シート!$C$119))/12,($D$9-B50+1)*12,E49,1,12,0),0))</f>
        <v/>
      </c>
      <c r="D50" s="33" t="str">
        <f>IF(B50="","",ROUNDUP(-CUMPRINC(IF(B50&gt;計算シート!$C$123,計算シート!$C$124,IF(B50&gt;計算シート!$C$121,計算シート!$C$122,計算シート!$C$119))/12,($D$9-B50+1)*12,E49,1,12,0),0))</f>
        <v/>
      </c>
      <c r="E50" s="54" t="str">
        <f t="shared" si="2"/>
        <v/>
      </c>
      <c r="F50" s="38" t="str">
        <f>IF($E$12="","",IF(B50="","",ROUNDDOWN(-CUMIPMT(IF(B50&gt;計算シート!$C$123,計算シート!$C$124,IF(B50&gt;計算シート!$C$121,計算シート!$C$122,計算シート!$C$119))/2,($D$9-B50+1)*2,H49,1,2,0),0)))</f>
        <v/>
      </c>
      <c r="G50" s="33" t="str">
        <f>IF($E$12="","",IF(B50="","",ROUNDUP(-CUMPRINC(IF(B50&gt;計算シート!$C$123,計算シート!$C$124,IF(B50&gt;計算シート!$C$121,計算シート!$C$122,計算シート!$C$119))/2,($D$9-B50+1)*2,H49,1,2,0),0)))</f>
        <v/>
      </c>
      <c r="H50" s="55" t="str">
        <f t="shared" si="3"/>
        <v/>
      </c>
      <c r="I50" s="56" t="str">
        <f t="shared" si="4"/>
        <v/>
      </c>
      <c r="J50" s="68"/>
      <c r="K50" s="68"/>
      <c r="L50" s="68"/>
      <c r="M50" s="68"/>
      <c r="N50" s="68"/>
      <c r="O50" s="68"/>
      <c r="P50" s="68"/>
    </row>
    <row r="51" spans="1:16" ht="17.25" customHeight="1">
      <c r="A51" s="31" t="str">
        <f t="shared" si="0"/>
        <v/>
      </c>
      <c r="B51" t="str">
        <f t="shared" si="1"/>
        <v/>
      </c>
      <c r="C51" s="32" t="str">
        <f>IF(B51="","",ROUNDDOWN(-CUMIPMT(IF(B51&gt;計算シート!$C$123,計算シート!$C$124,IF(B51&gt;計算シート!$C$121,計算シート!$C$122,計算シート!$C$119))/12,($D$9-B51+1)*12,E50,1,12,0),0))</f>
        <v/>
      </c>
      <c r="D51" s="33" t="str">
        <f>IF(B51="","",ROUNDUP(-CUMPRINC(IF(B51&gt;計算シート!$C$123,計算シート!$C$124,IF(B51&gt;計算シート!$C$121,計算シート!$C$122,計算シート!$C$119))/12,($D$9-B51+1)*12,E50,1,12,0),0))</f>
        <v/>
      </c>
      <c r="E51" s="54" t="str">
        <f t="shared" si="2"/>
        <v/>
      </c>
      <c r="F51" s="38" t="str">
        <f>IF($E$12="","",IF(B51="","",ROUNDDOWN(-CUMIPMT(IF(B51&gt;計算シート!$C$123,計算シート!$C$124,IF(B51&gt;計算シート!$C$121,計算シート!$C$122,計算シート!$C$119))/2,($D$9-B51+1)*2,H50,1,2,0),0)))</f>
        <v/>
      </c>
      <c r="G51" s="33" t="str">
        <f>IF($E$12="","",IF(B51="","",ROUNDUP(-CUMPRINC(IF(B51&gt;計算シート!$C$123,計算シート!$C$124,IF(B51&gt;計算シート!$C$121,計算シート!$C$122,計算シート!$C$119))/2,($D$9-B51+1)*2,H50,1,2,0),0)))</f>
        <v/>
      </c>
      <c r="H51" s="55" t="str">
        <f t="shared" si="3"/>
        <v/>
      </c>
      <c r="I51" s="56" t="str">
        <f t="shared" si="4"/>
        <v/>
      </c>
      <c r="J51" s="68"/>
      <c r="K51" s="68"/>
      <c r="L51" s="68"/>
      <c r="M51" s="68"/>
      <c r="N51" s="68"/>
      <c r="O51" s="68"/>
      <c r="P51" s="68"/>
    </row>
    <row r="52" spans="1:16" ht="17.25" customHeight="1">
      <c r="A52" s="31" t="str">
        <f t="shared" si="0"/>
        <v/>
      </c>
      <c r="B52" t="str">
        <f t="shared" si="1"/>
        <v/>
      </c>
      <c r="C52" s="32" t="str">
        <f>IF(B52="","",ROUNDDOWN(-CUMIPMT(IF(B52&gt;計算シート!$C$123,計算シート!$C$124,IF(B52&gt;計算シート!$C$121,計算シート!$C$122,計算シート!$C$119))/12,($D$9-B52+1)*12,E51,1,12,0),0))</f>
        <v/>
      </c>
      <c r="D52" s="33" t="str">
        <f>IF(B52="","",ROUNDUP(-CUMPRINC(IF(B52&gt;計算シート!$C$123,計算シート!$C$124,IF(B52&gt;計算シート!$C$121,計算シート!$C$122,計算シート!$C$119))/12,($D$9-B52+1)*12,E51,1,12,0),0))</f>
        <v/>
      </c>
      <c r="E52" s="54" t="str">
        <f t="shared" si="2"/>
        <v/>
      </c>
      <c r="F52" s="38" t="str">
        <f>IF($E$12="","",IF(B52="","",ROUNDDOWN(-CUMIPMT(IF(B52&gt;計算シート!$C$123,計算シート!$C$124,IF(B52&gt;計算シート!$C$121,計算シート!$C$122,計算シート!$C$119))/2,($D$9-B52+1)*2,H51,1,2,0),0)))</f>
        <v/>
      </c>
      <c r="G52" s="33" t="str">
        <f>IF($E$12="","",IF(B52="","",ROUNDUP(-CUMPRINC(IF(B52&gt;計算シート!$C$123,計算シート!$C$124,IF(B52&gt;計算シート!$C$121,計算シート!$C$122,計算シート!$C$119))/2,($D$9-B52+1)*2,H51,1,2,0),0)))</f>
        <v/>
      </c>
      <c r="H52" s="55" t="str">
        <f t="shared" si="3"/>
        <v/>
      </c>
      <c r="I52" s="56" t="str">
        <f t="shared" si="4"/>
        <v/>
      </c>
      <c r="J52" s="68"/>
      <c r="K52" s="68"/>
      <c r="L52" s="68"/>
      <c r="M52" s="68"/>
      <c r="N52" s="68"/>
      <c r="O52" s="68"/>
      <c r="P52" s="68"/>
    </row>
    <row r="53" spans="1:16" ht="17.25" customHeight="1" thickBot="1">
      <c r="A53" s="31" t="str">
        <f t="shared" si="0"/>
        <v/>
      </c>
      <c r="B53" t="str">
        <f t="shared" si="1"/>
        <v/>
      </c>
      <c r="C53" s="107" t="str">
        <f>IF(B53="","",ROUNDDOWN(-CUMIPMT(IF(B53&gt;計算シート!$C$123,計算シート!$C$124,IF(B53&gt;計算シート!$C$121,計算シート!$C$122,計算シート!$C$119))/12,($D$9-B53+1)*12,E52,1,12,0),0))</f>
        <v/>
      </c>
      <c r="D53" s="49" t="str">
        <f>IF(B53="","",ROUNDUP(-CUMPRINC(IF(B53&gt;計算シート!$C$123,計算シート!$C$124,IF(B53&gt;計算シート!$C$121,計算シート!$C$122,計算シート!$C$119))/12,($D$9-B53+1)*12,E52,1,12,0),0))</f>
        <v/>
      </c>
      <c r="E53" s="65" t="str">
        <f t="shared" si="2"/>
        <v/>
      </c>
      <c r="F53" s="289" t="str">
        <f>IF($E$12="","",IF(B53="","",ROUNDDOWN(-CUMIPMT(IF(B53&gt;計算シート!$C$123,計算シート!$C$124,IF(B53&gt;計算シート!$C$121,計算シート!$C$122,計算シート!$C$119))/2,($D$9-B53+1)*2,H52,1,2,0),0)))</f>
        <v/>
      </c>
      <c r="G53" s="49" t="str">
        <f>IF($E$12="","",IF(B53="","",ROUNDUP(-CUMPRINC(IF(B53&gt;計算シート!$C$123,計算シート!$C$124,IF(B53&gt;計算シート!$C$121,計算シート!$C$122,計算シート!$C$119))/2,($D$9-B53+1)*2,H52,1,2,0),0)))</f>
        <v/>
      </c>
      <c r="H53" s="65" t="str">
        <f t="shared" si="3"/>
        <v/>
      </c>
      <c r="I53" s="67" t="str">
        <f t="shared" si="4"/>
        <v/>
      </c>
      <c r="J53" s="68"/>
      <c r="K53" s="68"/>
      <c r="L53" s="68"/>
      <c r="M53" s="68"/>
      <c r="N53" s="68"/>
      <c r="O53" s="68"/>
      <c r="P53" s="68"/>
    </row>
  </sheetData>
  <sheetProtection algorithmName="SHA-512" hashValue="x5ethfb4C8GJlUBTA2MNCPgxULR/DDh2JbSzVEhBajvzElAB9hcg9um++wkUbOdY9zbgerCedX+osrwCQzPIzw==" saltValue="LOig9iwU4lbjtfgfebNr/A==" spinCount="100000" sheet="1" selectLockedCells="1"/>
  <mergeCells count="17">
    <mergeCell ref="A5:C5"/>
    <mergeCell ref="E5:F5"/>
    <mergeCell ref="F8:H8"/>
    <mergeCell ref="F10:H10"/>
    <mergeCell ref="C12:D12"/>
    <mergeCell ref="C11:D11"/>
    <mergeCell ref="C17:E17"/>
    <mergeCell ref="F17:H17"/>
    <mergeCell ref="C16:I16"/>
    <mergeCell ref="I7:I12"/>
    <mergeCell ref="C14:I15"/>
    <mergeCell ref="D2:E2"/>
    <mergeCell ref="D3:E3"/>
    <mergeCell ref="F2:G2"/>
    <mergeCell ref="F3:G3"/>
    <mergeCell ref="H2:I2"/>
    <mergeCell ref="H3:I3"/>
  </mergeCells>
  <phoneticPr fontId="8"/>
  <conditionalFormatting sqref="D2:E2">
    <cfRule type="cellIs" dxfId="24" priority="5" operator="notEqual">
      <formula>0</formula>
    </cfRule>
  </conditionalFormatting>
  <conditionalFormatting sqref="D3:E3">
    <cfRule type="cellIs" dxfId="23" priority="4" operator="notEqual">
      <formula>0</formula>
    </cfRule>
  </conditionalFormatting>
  <conditionalFormatting sqref="F2:G2">
    <cfRule type="cellIs" dxfId="22" priority="3" operator="notEqual">
      <formula>0</formula>
    </cfRule>
  </conditionalFormatting>
  <conditionalFormatting sqref="F3:G3">
    <cfRule type="cellIs" dxfId="21" priority="2" operator="notEqual">
      <formula>0</formula>
    </cfRule>
  </conditionalFormatting>
  <conditionalFormatting sqref="H2:I2">
    <cfRule type="cellIs" dxfId="20" priority="1" operator="notEqual">
      <formula>0</formula>
    </cfRule>
  </conditionalFormatting>
  <hyperlinks>
    <hyperlink ref="D2:E2" location="フラット３５元利均等償還表!A1" display="フラット３５元利均等償還表!A1" xr:uid="{00000000-0004-0000-0700-000000000000}"/>
    <hyperlink ref="D3:E3" location="フラット３５元金均等償還表!A1" display="フラット３５元金均等償還表!A1" xr:uid="{00000000-0004-0000-0700-000001000000}"/>
    <hyperlink ref="F2:G2" location="ベストミックス償還表!A1" display="ベストミックス償還表!A1" xr:uid="{00000000-0004-0000-0700-000002000000}"/>
    <hyperlink ref="F3:G3" location="アプラス償還表!A1" display="アプラス償還表!A1" xr:uid="{00000000-0004-0000-0700-000003000000}"/>
    <hyperlink ref="H2:I2" location="アプラスワイド償還表!A1" display="アプラスワイド償還表!A1" xr:uid="{00000000-0004-0000-0700-000004000000}"/>
  </hyperlink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6"/>
  </sheetPr>
  <dimension ref="A1:P54"/>
  <sheetViews>
    <sheetView topLeftCell="A2" zoomScale="90" zoomScaleNormal="90" workbookViewId="0">
      <selection activeCell="D2" sqref="D2:E2"/>
    </sheetView>
  </sheetViews>
  <sheetFormatPr defaultRowHeight="17.25" customHeight="1"/>
  <cols>
    <col min="1" max="1" width="12.125" customWidth="1"/>
    <col min="2" max="2" width="12.125" hidden="1" customWidth="1"/>
    <col min="3" max="9" width="12.125" customWidth="1"/>
    <col min="10" max="16" width="13.125" customWidth="1"/>
  </cols>
  <sheetData>
    <row r="1" spans="1:15" ht="17.25" customHeight="1">
      <c r="C1" t="s">
        <v>619</v>
      </c>
    </row>
    <row r="2" spans="1:15" ht="17.25" customHeight="1">
      <c r="D2" s="1591" t="str">
        <f>IF(計算シート!H18=1,"フラット３５元利均等",0)</f>
        <v>フラット３５元利均等</v>
      </c>
      <c r="E2" s="1591"/>
      <c r="F2" s="1591">
        <f>IF(資金計画!K24&gt;0,"ベストミックス",0)</f>
        <v>0</v>
      </c>
      <c r="G2" s="1591"/>
      <c r="H2" s="1591">
        <f>IF(資金計画!K29&gt;0,"アプラスワイド",0)</f>
        <v>0</v>
      </c>
      <c r="I2" s="1591"/>
    </row>
    <row r="3" spans="1:15" ht="17.25" customHeight="1">
      <c r="D3" s="1591">
        <f>IF(計算シート!H18=1,0,"フラット３5元金均等")</f>
        <v>0</v>
      </c>
      <c r="E3" s="1591"/>
      <c r="F3" s="1591">
        <f>IF(資金計画!K28&gt;0,"アプラス",0)</f>
        <v>0</v>
      </c>
      <c r="G3" s="1591"/>
      <c r="H3" s="1592" t="s">
        <v>620</v>
      </c>
      <c r="I3" s="1593"/>
    </row>
    <row r="5" spans="1:15" ht="26.25" customHeight="1">
      <c r="A5" s="1604" t="str">
        <f>IF(印刷ページ!A2="","",印刷ページ!A2)</f>
        <v/>
      </c>
      <c r="B5" s="1604"/>
      <c r="C5" s="1604"/>
      <c r="D5" s="225" t="s">
        <v>7</v>
      </c>
      <c r="E5" s="1604" t="str">
        <f>IF(印刷ページ!F2="","",印刷ページ!F2)</f>
        <v/>
      </c>
      <c r="F5" s="1604"/>
      <c r="G5" s="225" t="s">
        <v>7</v>
      </c>
      <c r="H5" s="225" t="s">
        <v>621</v>
      </c>
      <c r="I5" s="95" t="str">
        <f>IF(D3=0,"","1/"&amp;5-COUNT(D2:I3))</f>
        <v/>
      </c>
    </row>
    <row r="6" spans="1:15" ht="8.4499999999999993" customHeight="1">
      <c r="F6" s="104"/>
    </row>
    <row r="7" spans="1:15" ht="17.25" customHeight="1">
      <c r="F7" s="592" t="str">
        <f>入力シート!J118</f>
        <v>0年間</v>
      </c>
      <c r="G7" s="607" t="str">
        <f>IF(入力シート!L118="","",入力シート!L118)</f>
        <v/>
      </c>
      <c r="H7" s="608" t="str">
        <f>IF(入力シート!N118="","",入力シート!N118)</f>
        <v/>
      </c>
      <c r="I7" s="1601" t="str">
        <f>IF(D3=0,"対象外です","")</f>
        <v>対象外です</v>
      </c>
    </row>
    <row r="8" spans="1:15" ht="17.25" customHeight="1">
      <c r="D8" s="593" t="s">
        <v>622</v>
      </c>
      <c r="F8" s="1605" t="s">
        <v>623</v>
      </c>
      <c r="G8" s="1606"/>
      <c r="H8" s="1607"/>
      <c r="I8" s="1601"/>
    </row>
    <row r="9" spans="1:15" ht="17.25" customHeight="1">
      <c r="D9" s="609">
        <f>計算シート!$C$82</f>
        <v>0</v>
      </c>
      <c r="F9" s="595">
        <f>計算シート!C119</f>
        <v>1.43E-2</v>
      </c>
      <c r="G9" s="282" t="str">
        <f>IF(入力シート!L118="","",計算シート!C122)</f>
        <v/>
      </c>
      <c r="H9" s="283" t="str">
        <f>IF(入力シート!N118="","",計算シート!C124)</f>
        <v/>
      </c>
      <c r="I9" s="1601"/>
    </row>
    <row r="10" spans="1:15" ht="17.25" customHeight="1">
      <c r="D10" s="610"/>
      <c r="E10" s="596" t="s">
        <v>392</v>
      </c>
      <c r="F10" s="1605" t="s">
        <v>624</v>
      </c>
      <c r="G10" s="1606"/>
      <c r="H10" s="1607"/>
      <c r="I10" s="1601"/>
      <c r="K10" s="233"/>
      <c r="L10" s="233"/>
      <c r="M10" s="233"/>
    </row>
    <row r="11" spans="1:15" ht="17.25" customHeight="1">
      <c r="C11" s="1619" t="s">
        <v>625</v>
      </c>
      <c r="D11" s="1620"/>
      <c r="E11" s="611">
        <f>計算シート!C112</f>
        <v>1</v>
      </c>
      <c r="F11" s="598" t="e">
        <f>計算シート!C127</f>
        <v>#DIV/0!</v>
      </c>
      <c r="G11" s="599" t="str">
        <f>IF(入力シート!L118="","",計算シート!H116)</f>
        <v/>
      </c>
      <c r="H11" s="600" t="str">
        <f>IF(入力シート!N118="","",計算シート!H123)</f>
        <v/>
      </c>
      <c r="I11" s="1601"/>
      <c r="K11" s="233"/>
      <c r="L11" s="233"/>
      <c r="M11" s="233"/>
    </row>
    <row r="12" spans="1:15" ht="17.25" customHeight="1">
      <c r="A12" s="95"/>
      <c r="B12" s="95"/>
      <c r="C12" s="1617" t="s">
        <v>626</v>
      </c>
      <c r="D12" s="1618"/>
      <c r="E12" s="612" t="str">
        <f>IF(計算シート!C114=0,"",計算シート!C114)</f>
        <v/>
      </c>
      <c r="F12" s="479" t="str">
        <f>IF(E12="","",計算シート!C131)</f>
        <v/>
      </c>
      <c r="G12" s="477" t="str">
        <f>IF(E12="","",IF(入力シート!L118="","",計算シート!M116))</f>
        <v/>
      </c>
      <c r="H12" s="478" t="str">
        <f>IF(E12="","",IF(入力シート!N118="","",計算シート!M123))</f>
        <v/>
      </c>
      <c r="I12" s="1601"/>
      <c r="K12" s="239"/>
      <c r="L12" s="239"/>
      <c r="M12" s="239"/>
      <c r="N12" s="95"/>
      <c r="O12" s="95"/>
    </row>
    <row r="13" spans="1:15" ht="8.4499999999999993" customHeight="1">
      <c r="A13" s="95"/>
      <c r="B13" s="95"/>
      <c r="C13" s="95"/>
      <c r="D13" s="232"/>
      <c r="E13" s="240"/>
      <c r="F13" s="480" t="s">
        <v>634</v>
      </c>
      <c r="G13" s="480" t="str">
        <f>IF(入力シート!L118="","",計算シート!C118*12+1&amp;"回目の元利金")</f>
        <v/>
      </c>
      <c r="H13" s="480" t="str">
        <f>IF(入力シート!N118="","",(計算シート!C118+計算シート!C120)*12+1&amp;"回目の元利金")</f>
        <v/>
      </c>
      <c r="I13" s="30"/>
      <c r="K13" s="239"/>
      <c r="L13" s="239"/>
      <c r="M13" s="239"/>
      <c r="N13" s="95"/>
      <c r="O13" s="95"/>
    </row>
    <row r="14" spans="1:15" ht="17.25" customHeight="1">
      <c r="A14" s="95"/>
      <c r="B14" s="95"/>
      <c r="C14" s="1602" t="str">
        <f>IF(OR(計算シート!H21=2,計算シート!H21=3),"保証型を利用します。　　",IF(資金計画!U5=2,"ＭＡＸの金利が適用されています。　　",""))&amp;IF(AND(計算シート!R8&gt;=4,計算シート!R9=1),"リノベと維持保全型は併用できませんが、維持保全型の適用をナシとして計算しています。入力シートを修正してください。",IF(計算シート!M8=0,"","フラット３５の金利引下プランにより"&amp;IF(OR(ポイントメニュー!G22="",ポイントメニュー!G22=0),ポイントメニュー!D21&amp;ポイントメニュー!E21&amp;ポイントメニュー!F21&amp;ポイントメニュー!G21&amp;ポイントメニュー!H21,ポイントメニュー!D21&amp;ポイントメニュー!E21&amp;ポイントメニュー!F21&amp;ポイントメニュー!G21&amp;ポイントメニュー!H21&amp;ポイントメニュー!D22&amp;ポイントメニュー!E22&amp;ポイントメニュー!F22&amp;ポイントメニュー!G22&amp;ポイントメニュー!H22)&amp;"になっています。"))</f>
        <v/>
      </c>
      <c r="D14" s="1602"/>
      <c r="E14" s="1602"/>
      <c r="F14" s="1602"/>
      <c r="G14" s="1602"/>
      <c r="H14" s="1602"/>
      <c r="I14" s="1602"/>
      <c r="K14" s="239"/>
      <c r="L14" s="239"/>
      <c r="M14" s="239"/>
      <c r="N14" s="95"/>
      <c r="O14" s="95"/>
    </row>
    <row r="15" spans="1:15" ht="17.25" customHeight="1" thickBot="1">
      <c r="C15" s="1603"/>
      <c r="D15" s="1603"/>
      <c r="E15" s="1603"/>
      <c r="F15" s="1603"/>
      <c r="G15" s="1603"/>
      <c r="H15" s="1603"/>
      <c r="I15" s="1603"/>
    </row>
    <row r="16" spans="1:15" ht="17.25" customHeight="1">
      <c r="C16" s="1610" t="s">
        <v>635</v>
      </c>
      <c r="D16" s="1611"/>
      <c r="E16" s="1611"/>
      <c r="F16" s="1611"/>
      <c r="G16" s="1611"/>
      <c r="H16" s="1611"/>
      <c r="I16" s="1612"/>
      <c r="J16" s="242"/>
    </row>
    <row r="17" spans="1:16" ht="17.25" customHeight="1">
      <c r="C17" s="1613" t="s">
        <v>96</v>
      </c>
      <c r="D17" s="1614"/>
      <c r="E17" s="1615"/>
      <c r="F17" s="1616" t="s">
        <v>628</v>
      </c>
      <c r="G17" s="1616"/>
      <c r="H17" s="1616"/>
      <c r="I17" s="613"/>
      <c r="J17" s="242"/>
    </row>
    <row r="18" spans="1:16" ht="17.25" customHeight="1">
      <c r="B18" t="s">
        <v>629</v>
      </c>
      <c r="C18" s="250" t="s">
        <v>630</v>
      </c>
      <c r="D18" s="251" t="s">
        <v>631</v>
      </c>
      <c r="E18" s="252" t="s">
        <v>632</v>
      </c>
      <c r="F18" s="253" t="s">
        <v>630</v>
      </c>
      <c r="G18" s="253" t="s">
        <v>631</v>
      </c>
      <c r="H18" s="253" t="s">
        <v>632</v>
      </c>
      <c r="I18" s="602" t="s">
        <v>633</v>
      </c>
      <c r="J18" s="9"/>
      <c r="K18" s="9"/>
      <c r="L18" s="9"/>
      <c r="M18" s="9"/>
      <c r="N18" s="9"/>
      <c r="O18" s="9"/>
      <c r="P18" s="9"/>
    </row>
    <row r="19" spans="1:16" ht="17.25" customHeight="1">
      <c r="A19" s="31" t="str">
        <f>IF($D$9&lt;A18+1,"",A18+1)</f>
        <v/>
      </c>
      <c r="B19" t="str">
        <f t="shared" ref="B19:B53" si="0">IF(A19="","",IF($D$9-A19&gt;=0,A19,""))</f>
        <v/>
      </c>
      <c r="C19" s="32" t="str">
        <f>IF(B19="","",ROUNDUP(-ISPMT(IF(B21&gt;計算シート!$C$123,計算シート!$C$124,IF(B21&gt;計算シート!$C$121,計算シート!$C$122,計算シート!$C$119))/12,(A19*12-12),$D$9*12,$E$11*10000)-ISPMT(IF(B21&gt;計算シート!$C$123,計算シート!$C$124,IF(B21&gt;計算シート!$C$121,計算シート!$C$122,計算シート!$C$119))/12,(A19*12-11),$D$9*12,$E$11*10000)-ISPMT(IF(B21&gt;計算シート!$C$123,計算シート!$C$124,IF(B21&gt;計算シート!$C$121,計算シート!$C$122,計算シート!$C$119))/12,(A19*12-10),$D$9*12,$E$11*10000)-ISPMT(IF(B21&gt;計算シート!$C$123,計算シート!$C$124,IF(B21&gt;計算シート!$C$121,計算シート!$C$122,計算シート!$C$119))/12,(A19*12-9),$D$9*12,$E$11*10000)-ISPMT(IF(B21&gt;計算シート!$C$123,計算シート!$C$124,IF(B21&gt;計算シート!$C$121,計算シート!$C$122,計算シート!$C$119))/12,(A19*12-8),$D$9*12,$E$11*10000)-ISPMT(IF(B21&gt;計算シート!$C$123,計算シート!$C$124,IF(B21&gt;計算シート!$C$121,計算シート!$C$122,計算シート!$C$119))/12,(A19*12-7),$D$9*12,$E$11*10000)-ISPMT(IF(B21&gt;計算シート!$C$123,計算シート!$C$124,IF(B21&gt;計算シート!$C$121,計算シート!$C$122,計算シート!$C$119))/12,(A19*12-6),$D$9*12,$E$11*10000)-ISPMT(IF(B21&gt;計算シート!$C$123,計算シート!$C$124,IF(B21&gt;計算シート!$C$121,計算シート!$C$122,計算シート!$C$119))/12,(A19*12-5),$D$9*12,$E$11*10000)-ISPMT(IF(B21&gt;計算シート!$C$123,計算シート!$C$124,IF(B21&gt;計算シート!$C$121,計算シート!$C$122,計算シート!$C$119))/12,(A19*12-4),$D$9*12,$E$11*10000)-ISPMT(IF(B21&gt;計算シート!$C$123,計算シート!$C$124,IF(B21&gt;計算シート!$C$121,計算シート!$C$122,計算シート!$C$119))/12,(A19*12-3),$D$9*12,$E$11*10000)-ISPMT(IF(B21&gt;計算シート!$C$123,計算シート!$C$124,IF(B21&gt;計算シート!$C$121,計算シート!$C$122,計算シート!$C$119))/12,(A19*12-2),$D$9*12,$E$11*10000)-ISPMT(IF(B21&gt;計算シート!$C$123,計算シート!$C$124,IF(B21&gt;計算シート!$C$121,計算シート!$C$122,計算シート!$C$119))/12,(A19*12-1),$D$9*12,$E$11*10000),0))</f>
        <v/>
      </c>
      <c r="D19" s="33" t="str">
        <f t="shared" ref="D19:D53" si="1">IF(B19="","",ROUNDDOWN($E$11*10000/$D$9,0))</f>
        <v/>
      </c>
      <c r="E19" s="34" t="str">
        <f>IF(B19="","",IF(E11*10000-D19&lt;0,0,E11*10000-D19))</f>
        <v/>
      </c>
      <c r="F19" s="35" t="str">
        <f>IF($E$12="","",IF(B19="","",ROUNDUP(-ISPMT(IF(B21&gt;計算シート!$C$123,計算シート!$C$124,IF(B21&gt;計算シート!$C$121,計算シート!$C$122,計算シート!$C$119))/2,(A19*2-2),$D$9*2,$E$12*10000)-ISPMT(IF(B21&gt;計算シート!$C$123,計算シート!$C$124,IF(B21&gt;計算シート!$C$121,計算シート!$C$122,計算シート!$C$119))/2,(A19*2-1),$D$9*2,$E$12*10000),0)))</f>
        <v/>
      </c>
      <c r="G19" s="33" t="str">
        <f t="shared" ref="G19:G53" si="2">IF($E$12="","",IF(B19="","",ROUNDDOWN($E$12*10000/$D$9,0)))</f>
        <v/>
      </c>
      <c r="H19" s="36" t="str">
        <f>IF(E12="","",IF(B19="","",IF(E12*10000-G19&lt;0,0,E12*10000-G19)))</f>
        <v/>
      </c>
      <c r="I19" s="37" t="str">
        <f>IF(E19="","",E19+IF(H19="",0,H19))</f>
        <v/>
      </c>
      <c r="J19" s="68"/>
      <c r="K19" s="68"/>
      <c r="L19" s="68"/>
      <c r="M19" s="68"/>
      <c r="N19" s="68"/>
      <c r="O19" s="68"/>
      <c r="P19" s="68"/>
    </row>
    <row r="20" spans="1:16" ht="17.25" customHeight="1">
      <c r="A20" s="31" t="str">
        <f t="shared" ref="A20:A53" si="3">IF(A19="","",IF($D$9&lt;A19+1,"",A19+1))</f>
        <v/>
      </c>
      <c r="B20" t="str">
        <f t="shared" si="0"/>
        <v/>
      </c>
      <c r="C20" s="32" t="str">
        <f>IF(B20="","",ROUNDUP(-ISPMT(IF(B22&gt;計算シート!$C$123,計算シート!$C$124,IF(B22&gt;計算シート!$C$121,計算シート!$C$122,計算シート!$C$119))/12,(A20*12-12),$D$9*12,$E$11*10000)-ISPMT(IF(B22&gt;計算シート!$C$123,計算シート!$C$124,IF(B22&gt;計算シート!$C$121,計算シート!$C$122,計算シート!$C$119))/12,(A20*12-11),$D$9*12,$E$11*10000)-ISPMT(IF(B22&gt;計算シート!$C$123,計算シート!$C$124,IF(B22&gt;計算シート!$C$121,計算シート!$C$122,計算シート!$C$119))/12,(A20*12-10),$D$9*12,$E$11*10000)-ISPMT(IF(B22&gt;計算シート!$C$123,計算シート!$C$124,IF(B22&gt;計算シート!$C$121,計算シート!$C$122,計算シート!$C$119))/12,(A20*12-9),$D$9*12,$E$11*10000)-ISPMT(IF(B22&gt;計算シート!$C$123,計算シート!$C$124,IF(B22&gt;計算シート!$C$121,計算シート!$C$122,計算シート!$C$119))/12,(A20*12-8),$D$9*12,$E$11*10000)-ISPMT(IF(B22&gt;計算シート!$C$123,計算シート!$C$124,IF(B22&gt;計算シート!$C$121,計算シート!$C$122,計算シート!$C$119))/12,(A20*12-7),$D$9*12,$E$11*10000)-ISPMT(IF(B22&gt;計算シート!$C$123,計算シート!$C$124,IF(B22&gt;計算シート!$C$121,計算シート!$C$122,計算シート!$C$119))/12,(A20*12-6),$D$9*12,$E$11*10000)-ISPMT(IF(B22&gt;計算シート!$C$123,計算シート!$C$124,IF(B22&gt;計算シート!$C$121,計算シート!$C$122,計算シート!$C$119))/12,(A20*12-5),$D$9*12,$E$11*10000)-ISPMT(IF(B22&gt;計算シート!$C$123,計算シート!$C$124,IF(B22&gt;計算シート!$C$121,計算シート!$C$122,計算シート!$C$119))/12,(A20*12-4),$D$9*12,$E$11*10000)-ISPMT(IF(B22&gt;計算シート!$C$123,計算シート!$C$124,IF(B22&gt;計算シート!$C$121,計算シート!$C$122,計算シート!$C$119))/12,(A20*12-3),$D$9*12,$E$11*10000)-ISPMT(IF(B22&gt;計算シート!$C$123,計算シート!$C$124,IF(B22&gt;計算シート!$C$121,計算シート!$C$122,計算シート!$C$119))/12,(A20*12-2),$D$9*12,$E$11*10000)-ISPMT(IF(B22&gt;計算シート!$C$123,計算シート!$C$124,IF(B22&gt;計算シート!$C$121,計算シート!$C$122,計算シート!$C$119))/12,(A20*12-1),$D$9*12,$E$11*10000),0))</f>
        <v/>
      </c>
      <c r="D20" s="33" t="str">
        <f t="shared" si="1"/>
        <v/>
      </c>
      <c r="E20" s="34" t="str">
        <f t="shared" ref="E20:E53" si="4">IF(B20="","",IF(E19-D20&lt;0,0,E19-D20))</f>
        <v/>
      </c>
      <c r="F20" s="35" t="str">
        <f>IF($E$12="","",IF(B20="","",ROUNDUP(-ISPMT(IF(B22&gt;計算シート!$C$123,計算シート!$C$124,IF(B22&gt;計算シート!$C$121,計算シート!$C$122,計算シート!$C$119))/2,(A20*2-2),$D$9*2,$E$12*10000)-ISPMT(IF(B22&gt;計算シート!$C$123,計算シート!$C$124,IF(B22&gt;計算シート!$C$121,計算シート!$C$122,計算シート!$C$119))/2,(A20*2-1),$D$9*2,$E$12*10000),0)))</f>
        <v/>
      </c>
      <c r="G20" s="33" t="str">
        <f t="shared" si="2"/>
        <v/>
      </c>
      <c r="H20" s="36" t="str">
        <f t="shared" ref="H20:H53" si="5">IF($E$12="","",IF(B20="","",IF(H19-G20&lt;0,0,H19-G20)))</f>
        <v/>
      </c>
      <c r="I20" s="37" t="str">
        <f t="shared" ref="I20:I53" si="6">IF(E20="","",E20+IF(H20="",0,H20))</f>
        <v/>
      </c>
      <c r="J20" s="68"/>
      <c r="K20" s="68"/>
      <c r="L20" s="68"/>
      <c r="M20" s="68"/>
      <c r="N20" s="68"/>
      <c r="O20" s="68"/>
      <c r="P20" s="68"/>
    </row>
    <row r="21" spans="1:16" ht="17.25" customHeight="1">
      <c r="A21" s="31" t="str">
        <f t="shared" si="3"/>
        <v/>
      </c>
      <c r="B21" t="str">
        <f t="shared" si="0"/>
        <v/>
      </c>
      <c r="C21" s="32" t="str">
        <f>IF(B21="","",ROUNDUP(-ISPMT(IF(B23&gt;計算シート!$C$123,計算シート!$C$124,IF(B23&gt;計算シート!$C$121,計算シート!$C$122,計算シート!$C$119))/12,(A21*12-12),$D$9*12,$E$11*10000)-ISPMT(IF(B23&gt;計算シート!$C$123,計算シート!$C$124,IF(B23&gt;計算シート!$C$121,計算シート!$C$122,計算シート!$C$119))/12,(A21*12-11),$D$9*12,$E$11*10000)-ISPMT(IF(B23&gt;計算シート!$C$123,計算シート!$C$124,IF(B23&gt;計算シート!$C$121,計算シート!$C$122,計算シート!$C$119))/12,(A21*12-10),$D$9*12,$E$11*10000)-ISPMT(IF(B23&gt;計算シート!$C$123,計算シート!$C$124,IF(B23&gt;計算シート!$C$121,計算シート!$C$122,計算シート!$C$119))/12,(A21*12-9),$D$9*12,$E$11*10000)-ISPMT(IF(B23&gt;計算シート!$C$123,計算シート!$C$124,IF(B23&gt;計算シート!$C$121,計算シート!$C$122,計算シート!$C$119))/12,(A21*12-8),$D$9*12,$E$11*10000)-ISPMT(IF(B23&gt;計算シート!$C$123,計算シート!$C$124,IF(B23&gt;計算シート!$C$121,計算シート!$C$122,計算シート!$C$119))/12,(A21*12-7),$D$9*12,$E$11*10000)-ISPMT(IF(B23&gt;計算シート!$C$123,計算シート!$C$124,IF(B23&gt;計算シート!$C$121,計算シート!$C$122,計算シート!$C$119))/12,(A21*12-6),$D$9*12,$E$11*10000)-ISPMT(IF(B23&gt;計算シート!$C$123,計算シート!$C$124,IF(B23&gt;計算シート!$C$121,計算シート!$C$122,計算シート!$C$119))/12,(A21*12-5),$D$9*12,$E$11*10000)-ISPMT(IF(B23&gt;計算シート!$C$123,計算シート!$C$124,IF(B23&gt;計算シート!$C$121,計算シート!$C$122,計算シート!$C$119))/12,(A21*12-4),$D$9*12,$E$11*10000)-ISPMT(IF(B23&gt;計算シート!$C$123,計算シート!$C$124,IF(B23&gt;計算シート!$C$121,計算シート!$C$122,計算シート!$C$119))/12,(A21*12-3),$D$9*12,$E$11*10000)-ISPMT(IF(B23&gt;計算シート!$C$123,計算シート!$C$124,IF(B23&gt;計算シート!$C$121,計算シート!$C$122,計算シート!$C$119))/12,(A21*12-2),$D$9*12,$E$11*10000)-ISPMT(IF(B23&gt;計算シート!$C$123,計算シート!$C$124,IF(B23&gt;計算シート!$C$121,計算シート!$C$122,計算シート!$C$119))/12,(A21*12-1),$D$9*12,$E$11*10000),0))</f>
        <v/>
      </c>
      <c r="D21" s="33" t="str">
        <f t="shared" si="1"/>
        <v/>
      </c>
      <c r="E21" s="34" t="str">
        <f t="shared" si="4"/>
        <v/>
      </c>
      <c r="F21" s="35" t="str">
        <f>IF($E$12="","",IF(B21="","",ROUNDUP(-ISPMT(IF(B23&gt;計算シート!$C$123,計算シート!$C$124,IF(B23&gt;計算シート!$C$121,計算シート!$C$122,計算シート!$C$119))/2,(A21*2-2),$D$9*2,$E$12*10000)-ISPMT(IF(B23&gt;計算シート!$C$123,計算シート!$C$124,IF(B23&gt;計算シート!$C$121,計算シート!$C$122,計算シート!$C$119))/2,(A21*2-1),$D$9*2,$E$12*10000),0)))</f>
        <v/>
      </c>
      <c r="G21" s="33" t="str">
        <f t="shared" si="2"/>
        <v/>
      </c>
      <c r="H21" s="36" t="str">
        <f t="shared" si="5"/>
        <v/>
      </c>
      <c r="I21" s="37" t="str">
        <f t="shared" si="6"/>
        <v/>
      </c>
      <c r="J21" s="68"/>
      <c r="K21" s="68"/>
      <c r="L21" s="68"/>
      <c r="M21" s="68"/>
      <c r="N21" s="68"/>
      <c r="O21" s="68"/>
      <c r="P21" s="68"/>
    </row>
    <row r="22" spans="1:16" ht="17.25" customHeight="1">
      <c r="A22" s="31" t="str">
        <f t="shared" si="3"/>
        <v/>
      </c>
      <c r="B22" t="str">
        <f t="shared" si="0"/>
        <v/>
      </c>
      <c r="C22" s="32" t="str">
        <f>IF(B22="","",ROUNDUP(-ISPMT(IF(B24&gt;計算シート!$C$123,計算シート!$C$124,IF(B24&gt;計算シート!$C$121,計算シート!$C$122,計算シート!$C$119))/12,(A22*12-12),$D$9*12,$E$11*10000)-ISPMT(IF(B24&gt;計算シート!$C$123,計算シート!$C$124,IF(B24&gt;計算シート!$C$121,計算シート!$C$122,計算シート!$C$119))/12,(A22*12-11),$D$9*12,$E$11*10000)-ISPMT(IF(B24&gt;計算シート!$C$123,計算シート!$C$124,IF(B24&gt;計算シート!$C$121,計算シート!$C$122,計算シート!$C$119))/12,(A22*12-10),$D$9*12,$E$11*10000)-ISPMT(IF(B24&gt;計算シート!$C$123,計算シート!$C$124,IF(B24&gt;計算シート!$C$121,計算シート!$C$122,計算シート!$C$119))/12,(A22*12-9),$D$9*12,$E$11*10000)-ISPMT(IF(B24&gt;計算シート!$C$123,計算シート!$C$124,IF(B24&gt;計算シート!$C$121,計算シート!$C$122,計算シート!$C$119))/12,(A22*12-8),$D$9*12,$E$11*10000)-ISPMT(IF(B24&gt;計算シート!$C$123,計算シート!$C$124,IF(B24&gt;計算シート!$C$121,計算シート!$C$122,計算シート!$C$119))/12,(A22*12-7),$D$9*12,$E$11*10000)-ISPMT(IF(B24&gt;計算シート!$C$123,計算シート!$C$124,IF(B24&gt;計算シート!$C$121,計算シート!$C$122,計算シート!$C$119))/12,(A22*12-6),$D$9*12,$E$11*10000)-ISPMT(IF(B24&gt;計算シート!$C$123,計算シート!$C$124,IF(B24&gt;計算シート!$C$121,計算シート!$C$122,計算シート!$C$119))/12,(A22*12-5),$D$9*12,$E$11*10000)-ISPMT(IF(B24&gt;計算シート!$C$123,計算シート!$C$124,IF(B24&gt;計算シート!$C$121,計算シート!$C$122,計算シート!$C$119))/12,(A22*12-4),$D$9*12,$E$11*10000)-ISPMT(IF(B24&gt;計算シート!$C$123,計算シート!$C$124,IF(B24&gt;計算シート!$C$121,計算シート!$C$122,計算シート!$C$119))/12,(A22*12-3),$D$9*12,$E$11*10000)-ISPMT(IF(B24&gt;計算シート!$C$123,計算シート!$C$124,IF(B24&gt;計算シート!$C$121,計算シート!$C$122,計算シート!$C$119))/12,(A22*12-2),$D$9*12,$E$11*10000)-ISPMT(IF(B24&gt;計算シート!$C$123,計算シート!$C$124,IF(B24&gt;計算シート!$C$121,計算シート!$C$122,計算シート!$C$119))/12,(A22*12-1),$D$9*12,$E$11*10000),0))</f>
        <v/>
      </c>
      <c r="D22" s="33" t="str">
        <f t="shared" si="1"/>
        <v/>
      </c>
      <c r="E22" s="34" t="str">
        <f t="shared" si="4"/>
        <v/>
      </c>
      <c r="F22" s="35" t="str">
        <f>IF($E$12="","",IF(B22="","",ROUNDUP(-ISPMT(IF(B24&gt;計算シート!$C$123,計算シート!$C$124,IF(B24&gt;計算シート!$C$121,計算シート!$C$122,計算シート!$C$119))/2,(A22*2-2),$D$9*2,$E$12*10000)-ISPMT(IF(B24&gt;計算シート!$C$123,計算シート!$C$124,IF(B24&gt;計算シート!$C$121,計算シート!$C$122,計算シート!$C$119))/2,(A22*2-1),$D$9*2,$E$12*10000),0)))</f>
        <v/>
      </c>
      <c r="G22" s="33" t="str">
        <f t="shared" si="2"/>
        <v/>
      </c>
      <c r="H22" s="34" t="str">
        <f t="shared" si="5"/>
        <v/>
      </c>
      <c r="I22" s="37" t="str">
        <f t="shared" si="6"/>
        <v/>
      </c>
      <c r="J22" s="68"/>
      <c r="K22" s="68"/>
      <c r="L22" s="68"/>
      <c r="M22" s="68"/>
      <c r="N22" s="68"/>
      <c r="O22" s="68"/>
      <c r="P22" s="68"/>
    </row>
    <row r="23" spans="1:16" ht="17.25" customHeight="1">
      <c r="A23" s="31" t="str">
        <f t="shared" si="3"/>
        <v/>
      </c>
      <c r="B23" t="str">
        <f t="shared" si="0"/>
        <v/>
      </c>
      <c r="C23" s="39" t="str">
        <f>IF(B23="","",ROUNDUP(-ISPMT(IF(B25&gt;計算シート!$C$123,計算シート!$C$124,IF(B25&gt;計算シート!$C$121,計算シート!$C$122,計算シート!$C$119))/12,(A23*12-12),$D$9*12,$E$11*10000)-ISPMT(IF(B25&gt;計算シート!$C$123,計算シート!$C$124,IF(B25&gt;計算シート!$C$121,計算シート!$C$122,計算シート!$C$119))/12,(A23*12-11),$D$9*12,$E$11*10000)-ISPMT(IF(B25&gt;計算シート!$C$123,計算シート!$C$124,IF(B25&gt;計算シート!$C$121,計算シート!$C$122,計算シート!$C$119))/12,(A23*12-10),$D$9*12,$E$11*10000)-ISPMT(IF(B25&gt;計算シート!$C$123,計算シート!$C$124,IF(B25&gt;計算シート!$C$121,計算シート!$C$122,計算シート!$C$119))/12,(A23*12-9),$D$9*12,$E$11*10000)-ISPMT(IF(B25&gt;計算シート!$C$123,計算シート!$C$124,IF(B25&gt;計算シート!$C$121,計算シート!$C$122,計算シート!$C$119))/12,(A23*12-8),$D$9*12,$E$11*10000)-ISPMT(IF(B25&gt;計算シート!$C$123,計算シート!$C$124,IF(B25&gt;計算シート!$C$121,計算シート!$C$122,計算シート!$C$119))/12,(A23*12-7),$D$9*12,$E$11*10000)-ISPMT(IF(B25&gt;計算シート!$C$123,計算シート!$C$124,IF(B25&gt;計算シート!$C$121,計算シート!$C$122,計算シート!$C$119))/12,(A23*12-6),$D$9*12,$E$11*10000)-ISPMT(IF(B25&gt;計算シート!$C$123,計算シート!$C$124,IF(B25&gt;計算シート!$C$121,計算シート!$C$122,計算シート!$C$119))/12,(A23*12-5),$D$9*12,$E$11*10000)-ISPMT(IF(B25&gt;計算シート!$C$123,計算シート!$C$124,IF(B25&gt;計算シート!$C$121,計算シート!$C$122,計算シート!$C$119))/12,(A23*12-4),$D$9*12,$E$11*10000)-ISPMT(IF(B25&gt;計算シート!$C$123,計算シート!$C$124,IF(B25&gt;計算シート!$C$121,計算シート!$C$122,計算シート!$C$119))/12,(A23*12-3),$D$9*12,$E$11*10000)-ISPMT(IF(B25&gt;計算シート!$C$123,計算シート!$C$124,IF(B25&gt;計算シート!$C$121,計算シート!$C$122,計算シート!$C$119))/12,(A23*12-2),$D$9*12,$E$11*10000)-ISPMT(IF(B25&gt;計算シート!$C$123,計算シート!$C$124,IF(B25&gt;計算シート!$C$121,計算シート!$C$122,計算シート!$C$119))/12,(A23*12-1),$D$9*12,$E$11*10000),0))</f>
        <v/>
      </c>
      <c r="D23" s="40" t="str">
        <f t="shared" si="1"/>
        <v/>
      </c>
      <c r="E23" s="41" t="str">
        <f t="shared" si="4"/>
        <v/>
      </c>
      <c r="F23" s="291" t="str">
        <f>IF($E$12="","",IF(B23="","",ROUNDUP(-ISPMT(IF(B25&gt;計算シート!$C$123,計算シート!$C$124,IF(B25&gt;計算シート!$C$121,計算シート!$C$122,計算シート!$C$119))/2,(A23*2-2),$D$9*2,$E$12*10000)-ISPMT(IF(B25&gt;計算シート!$C$123,計算シート!$C$124,IF(B25&gt;計算シート!$C$121,計算シート!$C$122,計算シート!$C$119))/2,(A23*2-1),$D$9*2,$E$12*10000),0)))</f>
        <v/>
      </c>
      <c r="G23" s="40" t="str">
        <f t="shared" si="2"/>
        <v/>
      </c>
      <c r="H23" s="41" t="str">
        <f t="shared" si="5"/>
        <v/>
      </c>
      <c r="I23" s="603" t="str">
        <f t="shared" si="6"/>
        <v/>
      </c>
      <c r="J23" s="68"/>
      <c r="K23" s="68"/>
      <c r="L23" s="68"/>
      <c r="M23" s="68"/>
      <c r="N23" s="68"/>
      <c r="O23" s="68"/>
      <c r="P23" s="68"/>
    </row>
    <row r="24" spans="1:16" ht="17.25" customHeight="1">
      <c r="A24" s="31" t="str">
        <f t="shared" si="3"/>
        <v/>
      </c>
      <c r="B24" t="str">
        <f t="shared" si="0"/>
        <v/>
      </c>
      <c r="C24" s="236" t="str">
        <f>IF(B24="","",ROUNDUP(-ISPMT(IF(B26&gt;計算シート!$C$123,計算シート!$C$124,IF(B26&gt;計算シート!$C$121,計算シート!$C$122,計算シート!$C$119))/12,(A24*12-12),$D$9*12,$E$11*10000)-ISPMT(IF(B26&gt;計算シート!$C$123,計算シート!$C$124,IF(B26&gt;計算シート!$C$121,計算シート!$C$122,計算シート!$C$119))/12,(A24*12-11),$D$9*12,$E$11*10000)-ISPMT(IF(B26&gt;計算シート!$C$123,計算シート!$C$124,IF(B26&gt;計算シート!$C$121,計算シート!$C$122,計算シート!$C$119))/12,(A24*12-10),$D$9*12,$E$11*10000)-ISPMT(IF(B26&gt;計算シート!$C$123,計算シート!$C$124,IF(B26&gt;計算シート!$C$121,計算シート!$C$122,計算シート!$C$119))/12,(A24*12-9),$D$9*12,$E$11*10000)-ISPMT(IF(B26&gt;計算シート!$C$123,計算シート!$C$124,IF(B26&gt;計算シート!$C$121,計算シート!$C$122,計算シート!$C$119))/12,(A24*12-8),$D$9*12,$E$11*10000)-ISPMT(IF(B26&gt;計算シート!$C$123,計算シート!$C$124,IF(B26&gt;計算シート!$C$121,計算シート!$C$122,計算シート!$C$119))/12,(A24*12-7),$D$9*12,$E$11*10000)-ISPMT(IF(B26&gt;計算シート!$C$123,計算シート!$C$124,IF(B26&gt;計算シート!$C$121,計算シート!$C$122,計算シート!$C$119))/12,(A24*12-6),$D$9*12,$E$11*10000)-ISPMT(IF(B26&gt;計算シート!$C$123,計算シート!$C$124,IF(B26&gt;計算シート!$C$121,計算シート!$C$122,計算シート!$C$119))/12,(A24*12-5),$D$9*12,$E$11*10000)-ISPMT(IF(B26&gt;計算シート!$C$123,計算シート!$C$124,IF(B26&gt;計算シート!$C$121,計算シート!$C$122,計算シート!$C$119))/12,(A24*12-4),$D$9*12,$E$11*10000)-ISPMT(IF(B26&gt;計算シート!$C$123,計算シート!$C$124,IF(B26&gt;計算シート!$C$121,計算シート!$C$122,計算シート!$C$119))/12,(A24*12-3),$D$9*12,$E$11*10000)-ISPMT(IF(B26&gt;計算シート!$C$123,計算シート!$C$124,IF(B26&gt;計算シート!$C$121,計算シート!$C$122,計算シート!$C$119))/12,(A24*12-2),$D$9*12,$E$11*10000)-ISPMT(IF(B26&gt;計算シート!$C$123,計算シート!$C$124,IF(B26&gt;計算シート!$C$121,計算シート!$C$122,計算シート!$C$119))/12,(A24*12-1),$D$9*12,$E$11*10000),0))</f>
        <v/>
      </c>
      <c r="D24" s="45" t="str">
        <f t="shared" si="1"/>
        <v/>
      </c>
      <c r="E24" s="46" t="str">
        <f t="shared" si="4"/>
        <v/>
      </c>
      <c r="F24" s="44" t="str">
        <f>IF($E$12="","",IF(B24="","",ROUNDUP(-ISPMT(IF(B26&gt;計算シート!$C$123,計算シート!$C$124,IF(B26&gt;計算シート!$C$121,計算シート!$C$122,計算シート!$C$119))/2,(A24*2-2),$D$9*2,$E$12*10000)-ISPMT(IF(B26&gt;計算シート!$C$123,計算シート!$C$124,IF(B26&gt;計算シート!$C$121,計算シート!$C$122,計算シート!$C$119))/2,(A24*2-1),$D$9*2,$E$12*10000),0)))</f>
        <v/>
      </c>
      <c r="G24" s="45" t="str">
        <f t="shared" si="2"/>
        <v/>
      </c>
      <c r="H24" s="47" t="str">
        <f t="shared" si="5"/>
        <v/>
      </c>
      <c r="I24" s="604" t="str">
        <f t="shared" si="6"/>
        <v/>
      </c>
      <c r="J24" s="68"/>
      <c r="K24" s="68"/>
      <c r="L24" s="68"/>
      <c r="M24" s="68"/>
      <c r="N24" s="68"/>
      <c r="O24" s="68"/>
      <c r="P24" s="68"/>
    </row>
    <row r="25" spans="1:16" ht="17.25" customHeight="1">
      <c r="A25" s="31" t="str">
        <f t="shared" si="3"/>
        <v/>
      </c>
      <c r="B25" t="str">
        <f t="shared" si="0"/>
        <v/>
      </c>
      <c r="C25" s="32" t="str">
        <f>IF(B25="","",ROUNDUP(-ISPMT(IF(B27&gt;計算シート!$C$123,計算シート!$C$124,IF(B27&gt;計算シート!$C$121,計算シート!$C$122,計算シート!$C$119))/12,(A25*12-12),$D$9*12,$E$11*10000)-ISPMT(IF(B27&gt;計算シート!$C$123,計算シート!$C$124,IF(B27&gt;計算シート!$C$121,計算シート!$C$122,計算シート!$C$119))/12,(A25*12-11),$D$9*12,$E$11*10000)-ISPMT(IF(B27&gt;計算シート!$C$123,計算シート!$C$124,IF(B27&gt;計算シート!$C$121,計算シート!$C$122,計算シート!$C$119))/12,(A25*12-10),$D$9*12,$E$11*10000)-ISPMT(IF(B27&gt;計算シート!$C$123,計算シート!$C$124,IF(B27&gt;計算シート!$C$121,計算シート!$C$122,計算シート!$C$119))/12,(A25*12-9),$D$9*12,$E$11*10000)-ISPMT(IF(B27&gt;計算シート!$C$123,計算シート!$C$124,IF(B27&gt;計算シート!$C$121,計算シート!$C$122,計算シート!$C$119))/12,(A25*12-8),$D$9*12,$E$11*10000)-ISPMT(IF(B27&gt;計算シート!$C$123,計算シート!$C$124,IF(B27&gt;計算シート!$C$121,計算シート!$C$122,計算シート!$C$119))/12,(A25*12-7),$D$9*12,$E$11*10000)-ISPMT(IF(B27&gt;計算シート!$C$123,計算シート!$C$124,IF(B27&gt;計算シート!$C$121,計算シート!$C$122,計算シート!$C$119))/12,(A25*12-6),$D$9*12,$E$11*10000)-ISPMT(IF(B27&gt;計算シート!$C$123,計算シート!$C$124,IF(B27&gt;計算シート!$C$121,計算シート!$C$122,計算シート!$C$119))/12,(A25*12-5),$D$9*12,$E$11*10000)-ISPMT(IF(B27&gt;計算シート!$C$123,計算シート!$C$124,IF(B27&gt;計算シート!$C$121,計算シート!$C$122,計算シート!$C$119))/12,(A25*12-4),$D$9*12,$E$11*10000)-ISPMT(IF(B27&gt;計算シート!$C$123,計算シート!$C$124,IF(B27&gt;計算シート!$C$121,計算シート!$C$122,計算シート!$C$119))/12,(A25*12-3),$D$9*12,$E$11*10000)-ISPMT(IF(B27&gt;計算シート!$C$123,計算シート!$C$124,IF(B27&gt;計算シート!$C$121,計算シート!$C$122,計算シート!$C$119))/12,(A25*12-2),$D$9*12,$E$11*10000)-ISPMT(IF(B27&gt;計算シート!$C$123,計算シート!$C$124,IF(B27&gt;計算シート!$C$121,計算シート!$C$122,計算シート!$C$119))/12,(A25*12-1),$D$9*12,$E$11*10000),0))</f>
        <v/>
      </c>
      <c r="D25" s="33" t="str">
        <f t="shared" si="1"/>
        <v/>
      </c>
      <c r="E25" s="34" t="str">
        <f t="shared" si="4"/>
        <v/>
      </c>
      <c r="F25" s="35" t="str">
        <f>IF($E$12="","",IF(B25="","",ROUNDUP(-ISPMT(IF(B27&gt;計算シート!$C$123,計算シート!$C$124,IF(B27&gt;計算シート!$C$121,計算シート!$C$122,計算シート!$C$119))/2,(A25*2-2),$D$9*2,$E$12*10000)-ISPMT(IF(B27&gt;計算シート!$C$123,計算シート!$C$124,IF(B27&gt;計算シート!$C$121,計算シート!$C$122,計算シート!$C$119))/2,(A25*2-1),$D$9*2,$E$12*10000),0)))</f>
        <v/>
      </c>
      <c r="G25" s="33" t="str">
        <f t="shared" si="2"/>
        <v/>
      </c>
      <c r="H25" s="36" t="str">
        <f t="shared" si="5"/>
        <v/>
      </c>
      <c r="I25" s="37" t="str">
        <f t="shared" si="6"/>
        <v/>
      </c>
      <c r="J25" s="68"/>
      <c r="K25" s="68"/>
      <c r="L25" s="68"/>
      <c r="M25" s="68"/>
      <c r="N25" s="68"/>
      <c r="O25" s="68"/>
      <c r="P25" s="68"/>
    </row>
    <row r="26" spans="1:16" ht="17.25" customHeight="1">
      <c r="A26" s="31" t="str">
        <f t="shared" si="3"/>
        <v/>
      </c>
      <c r="B26" t="str">
        <f t="shared" si="0"/>
        <v/>
      </c>
      <c r="C26" s="32" t="str">
        <f>IF(B26="","",ROUNDUP(-ISPMT(IF(B28&gt;計算シート!$C$123,計算シート!$C$124,IF(B28&gt;計算シート!$C$121,計算シート!$C$122,計算シート!$C$119))/12,(A26*12-12),$D$9*12,$E$11*10000)-ISPMT(IF(B28&gt;計算シート!$C$123,計算シート!$C$124,IF(B28&gt;計算シート!$C$121,計算シート!$C$122,計算シート!$C$119))/12,(A26*12-11),$D$9*12,$E$11*10000)-ISPMT(IF(B28&gt;計算シート!$C$123,計算シート!$C$124,IF(B28&gt;計算シート!$C$121,計算シート!$C$122,計算シート!$C$119))/12,(A26*12-10),$D$9*12,$E$11*10000)-ISPMT(IF(B28&gt;計算シート!$C$123,計算シート!$C$124,IF(B28&gt;計算シート!$C$121,計算シート!$C$122,計算シート!$C$119))/12,(A26*12-9),$D$9*12,$E$11*10000)-ISPMT(IF(B28&gt;計算シート!$C$123,計算シート!$C$124,IF(B28&gt;計算シート!$C$121,計算シート!$C$122,計算シート!$C$119))/12,(A26*12-8),$D$9*12,$E$11*10000)-ISPMT(IF(B28&gt;計算シート!$C$123,計算シート!$C$124,IF(B28&gt;計算シート!$C$121,計算シート!$C$122,計算シート!$C$119))/12,(A26*12-7),$D$9*12,$E$11*10000)-ISPMT(IF(B28&gt;計算シート!$C$123,計算シート!$C$124,IF(B28&gt;計算シート!$C$121,計算シート!$C$122,計算シート!$C$119))/12,(A26*12-6),$D$9*12,$E$11*10000)-ISPMT(IF(B28&gt;計算シート!$C$123,計算シート!$C$124,IF(B28&gt;計算シート!$C$121,計算シート!$C$122,計算シート!$C$119))/12,(A26*12-5),$D$9*12,$E$11*10000)-ISPMT(IF(B28&gt;計算シート!$C$123,計算シート!$C$124,IF(B28&gt;計算シート!$C$121,計算シート!$C$122,計算シート!$C$119))/12,(A26*12-4),$D$9*12,$E$11*10000)-ISPMT(IF(B28&gt;計算シート!$C$123,計算シート!$C$124,IF(B28&gt;計算シート!$C$121,計算シート!$C$122,計算シート!$C$119))/12,(A26*12-3),$D$9*12,$E$11*10000)-ISPMT(IF(B28&gt;計算シート!$C$123,計算シート!$C$124,IF(B28&gt;計算シート!$C$121,計算シート!$C$122,計算シート!$C$119))/12,(A26*12-2),$D$9*12,$E$11*10000)-ISPMT(IF(B28&gt;計算シート!$C$123,計算シート!$C$124,IF(B28&gt;計算シート!$C$121,計算シート!$C$122,計算シート!$C$119))/12,(A26*12-1),$D$9*12,$E$11*10000),0))</f>
        <v/>
      </c>
      <c r="D26" s="33" t="str">
        <f t="shared" si="1"/>
        <v/>
      </c>
      <c r="E26" s="34" t="str">
        <f t="shared" si="4"/>
        <v/>
      </c>
      <c r="F26" s="35" t="str">
        <f>IF($E$12="","",IF(B26="","",ROUNDUP(-ISPMT(IF(B28&gt;計算シート!$C$123,計算シート!$C$124,IF(B28&gt;計算シート!$C$121,計算シート!$C$122,計算シート!$C$119))/2,(A26*2-2),$D$9*2,$E$12*10000)-ISPMT(IF(B28&gt;計算シート!$C$123,計算シート!$C$124,IF(B28&gt;計算シート!$C$121,計算シート!$C$122,計算シート!$C$119))/2,(A26*2-1),$D$9*2,$E$12*10000),0)))</f>
        <v/>
      </c>
      <c r="G26" s="33" t="str">
        <f t="shared" si="2"/>
        <v/>
      </c>
      <c r="H26" s="36" t="str">
        <f t="shared" si="5"/>
        <v/>
      </c>
      <c r="I26" s="37" t="str">
        <f t="shared" si="6"/>
        <v/>
      </c>
      <c r="J26" s="68"/>
      <c r="K26" s="68"/>
      <c r="L26" s="68"/>
      <c r="M26" s="68"/>
      <c r="N26" s="68"/>
      <c r="O26" s="68"/>
      <c r="P26" s="68"/>
    </row>
    <row r="27" spans="1:16" ht="17.25" customHeight="1">
      <c r="A27" s="31" t="str">
        <f t="shared" si="3"/>
        <v/>
      </c>
      <c r="B27" t="str">
        <f t="shared" si="0"/>
        <v/>
      </c>
      <c r="C27" s="32" t="str">
        <f>IF(B27="","",ROUNDUP(-ISPMT(IF(B29&gt;計算シート!$C$123,計算シート!$C$124,IF(B29&gt;計算シート!$C$121,計算シート!$C$122,計算シート!$C$119))/12,(A27*12-12),$D$9*12,$E$11*10000)-ISPMT(IF(B29&gt;計算シート!$C$123,計算シート!$C$124,IF(B29&gt;計算シート!$C$121,計算シート!$C$122,計算シート!$C$119))/12,(A27*12-11),$D$9*12,$E$11*10000)-ISPMT(IF(B29&gt;計算シート!$C$123,計算シート!$C$124,IF(B29&gt;計算シート!$C$121,計算シート!$C$122,計算シート!$C$119))/12,(A27*12-10),$D$9*12,$E$11*10000)-ISPMT(IF(B29&gt;計算シート!$C$123,計算シート!$C$124,IF(B29&gt;計算シート!$C$121,計算シート!$C$122,計算シート!$C$119))/12,(A27*12-9),$D$9*12,$E$11*10000)-ISPMT(IF(B29&gt;計算シート!$C$123,計算シート!$C$124,IF(B29&gt;計算シート!$C$121,計算シート!$C$122,計算シート!$C$119))/12,(A27*12-8),$D$9*12,$E$11*10000)-ISPMT(IF(B29&gt;計算シート!$C$123,計算シート!$C$124,IF(B29&gt;計算シート!$C$121,計算シート!$C$122,計算シート!$C$119))/12,(A27*12-7),$D$9*12,$E$11*10000)-ISPMT(IF(B29&gt;計算シート!$C$123,計算シート!$C$124,IF(B29&gt;計算シート!$C$121,計算シート!$C$122,計算シート!$C$119))/12,(A27*12-6),$D$9*12,$E$11*10000)-ISPMT(IF(B29&gt;計算シート!$C$123,計算シート!$C$124,IF(B29&gt;計算シート!$C$121,計算シート!$C$122,計算シート!$C$119))/12,(A27*12-5),$D$9*12,$E$11*10000)-ISPMT(IF(B29&gt;計算シート!$C$123,計算シート!$C$124,IF(B29&gt;計算シート!$C$121,計算シート!$C$122,計算シート!$C$119))/12,(A27*12-4),$D$9*12,$E$11*10000)-ISPMT(IF(B29&gt;計算シート!$C$123,計算シート!$C$124,IF(B29&gt;計算シート!$C$121,計算シート!$C$122,計算シート!$C$119))/12,(A27*12-3),$D$9*12,$E$11*10000)-ISPMT(IF(B29&gt;計算シート!$C$123,計算シート!$C$124,IF(B29&gt;計算シート!$C$121,計算シート!$C$122,計算シート!$C$119))/12,(A27*12-2),$D$9*12,$E$11*10000)-ISPMT(IF(B29&gt;計算シート!$C$123,計算シート!$C$124,IF(B29&gt;計算シート!$C$121,計算シート!$C$122,計算シート!$C$119))/12,(A27*12-1),$D$9*12,$E$11*10000),0))</f>
        <v/>
      </c>
      <c r="D27" s="33" t="str">
        <f t="shared" si="1"/>
        <v/>
      </c>
      <c r="E27" s="34" t="str">
        <f t="shared" si="4"/>
        <v/>
      </c>
      <c r="F27" s="35" t="str">
        <f>IF($E$12="","",IF(B27="","",ROUNDUP(-ISPMT(IF(B29&gt;計算シート!$C$123,計算シート!$C$124,IF(B29&gt;計算シート!$C$121,計算シート!$C$122,計算シート!$C$119))/2,(A27*2-2),$D$9*2,$E$12*10000)-ISPMT(IF(B29&gt;計算シート!$C$123,計算シート!$C$124,IF(B29&gt;計算シート!$C$121,計算シート!$C$122,計算シート!$C$119))/2,(A27*2-1),$D$9*2,$E$12*10000),0)))</f>
        <v/>
      </c>
      <c r="G27" s="33" t="str">
        <f t="shared" si="2"/>
        <v/>
      </c>
      <c r="H27" s="36" t="str">
        <f t="shared" si="5"/>
        <v/>
      </c>
      <c r="I27" s="37" t="str">
        <f t="shared" si="6"/>
        <v/>
      </c>
      <c r="J27" s="68"/>
      <c r="K27" s="68"/>
      <c r="L27" s="68"/>
      <c r="M27" s="68"/>
      <c r="N27" s="68"/>
      <c r="O27" s="68"/>
      <c r="P27" s="68"/>
    </row>
    <row r="28" spans="1:16" ht="17.25" customHeight="1">
      <c r="A28" s="31" t="str">
        <f t="shared" si="3"/>
        <v/>
      </c>
      <c r="B28" t="str">
        <f t="shared" si="0"/>
        <v/>
      </c>
      <c r="C28" s="39" t="str">
        <f>IF(B28="","",ROUNDUP(-ISPMT(IF(B30&gt;計算シート!$C$123,計算シート!$C$124,IF(B30&gt;計算シート!$C$121,計算シート!$C$122,計算シート!$C$119))/12,(A28*12-12),$D$9*12,$E$11*10000)-ISPMT(IF(B30&gt;計算シート!$C$123,計算シート!$C$124,IF(B30&gt;計算シート!$C$121,計算シート!$C$122,計算シート!$C$119))/12,(A28*12-11),$D$9*12,$E$11*10000)-ISPMT(IF(B30&gt;計算シート!$C$123,計算シート!$C$124,IF(B30&gt;計算シート!$C$121,計算シート!$C$122,計算シート!$C$119))/12,(A28*12-10),$D$9*12,$E$11*10000)-ISPMT(IF(B30&gt;計算シート!$C$123,計算シート!$C$124,IF(B30&gt;計算シート!$C$121,計算シート!$C$122,計算シート!$C$119))/12,(A28*12-9),$D$9*12,$E$11*10000)-ISPMT(IF(B30&gt;計算シート!$C$123,計算シート!$C$124,IF(B30&gt;計算シート!$C$121,計算シート!$C$122,計算シート!$C$119))/12,(A28*12-8),$D$9*12,$E$11*10000)-ISPMT(IF(B30&gt;計算シート!$C$123,計算シート!$C$124,IF(B30&gt;計算シート!$C$121,計算シート!$C$122,計算シート!$C$119))/12,(A28*12-7),$D$9*12,$E$11*10000)-ISPMT(IF(B30&gt;計算シート!$C$123,計算シート!$C$124,IF(B30&gt;計算シート!$C$121,計算シート!$C$122,計算シート!$C$119))/12,(A28*12-6),$D$9*12,$E$11*10000)-ISPMT(IF(B30&gt;計算シート!$C$123,計算シート!$C$124,IF(B30&gt;計算シート!$C$121,計算シート!$C$122,計算シート!$C$119))/12,(A28*12-5),$D$9*12,$E$11*10000)-ISPMT(IF(B30&gt;計算シート!$C$123,計算シート!$C$124,IF(B30&gt;計算シート!$C$121,計算シート!$C$122,計算シート!$C$119))/12,(A28*12-4),$D$9*12,$E$11*10000)-ISPMT(IF(B30&gt;計算シート!$C$123,計算シート!$C$124,IF(B30&gt;計算シート!$C$121,計算シート!$C$122,計算シート!$C$119))/12,(A28*12-3),$D$9*12,$E$11*10000)-ISPMT(IF(B30&gt;計算シート!$C$123,計算シート!$C$124,IF(B30&gt;計算シート!$C$121,計算シート!$C$122,計算シート!$C$119))/12,(A28*12-2),$D$9*12,$E$11*10000)-ISPMT(IF(B30&gt;計算シート!$C$123,計算シート!$C$124,IF(B30&gt;計算シート!$C$121,計算シート!$C$122,計算シート!$C$119))/12,(A28*12-1),$D$9*12,$E$11*10000),0))</f>
        <v/>
      </c>
      <c r="D28" s="40" t="str">
        <f t="shared" si="1"/>
        <v/>
      </c>
      <c r="E28" s="41" t="str">
        <f t="shared" si="4"/>
        <v/>
      </c>
      <c r="F28" s="291" t="str">
        <f>IF($E$12="","",IF(B28="","",ROUNDUP(-ISPMT(IF(B30&gt;計算シート!$C$123,計算シート!$C$124,IF(B30&gt;計算シート!$C$121,計算シート!$C$122,計算シート!$C$119))/2,(A28*2-2),$D$9*2,$E$12*10000)-ISPMT(IF(B30&gt;計算シート!$C$123,計算シート!$C$124,IF(B30&gt;計算シート!$C$121,計算シート!$C$122,計算シート!$C$119))/2,(A28*2-1),$D$9*2,$E$12*10000),0)))</f>
        <v/>
      </c>
      <c r="G28" s="40" t="str">
        <f t="shared" si="2"/>
        <v/>
      </c>
      <c r="H28" s="42" t="str">
        <f t="shared" si="5"/>
        <v/>
      </c>
      <c r="I28" s="603" t="str">
        <f t="shared" si="6"/>
        <v/>
      </c>
      <c r="J28" s="68"/>
      <c r="K28" s="68"/>
      <c r="L28" s="68"/>
      <c r="M28" s="68"/>
      <c r="N28" s="68"/>
      <c r="O28" s="68"/>
      <c r="P28" s="68"/>
    </row>
    <row r="29" spans="1:16" ht="17.25" customHeight="1">
      <c r="A29" s="31" t="str">
        <f t="shared" si="3"/>
        <v/>
      </c>
      <c r="B29" t="str">
        <f t="shared" si="0"/>
        <v/>
      </c>
      <c r="C29" s="236" t="str">
        <f>IF(B29="","",ROUNDUP(-ISPMT(IF(B31&gt;計算シート!$C$123,計算シート!$C$124,IF(B31&gt;計算シート!$C$121,計算シート!$C$122,計算シート!$C$119))/12,(A29*12-12),$D$9*12,$E$11*10000)-ISPMT(IF(B31&gt;計算シート!$C$123,計算シート!$C$124,IF(B31&gt;計算シート!$C$121,計算シート!$C$122,計算シート!$C$119))/12,(A29*12-11),$D$9*12,$E$11*10000)-ISPMT(IF(B31&gt;計算シート!$C$123,計算シート!$C$124,IF(B31&gt;計算シート!$C$121,計算シート!$C$122,計算シート!$C$119))/12,(A29*12-10),$D$9*12,$E$11*10000)-ISPMT(IF(B31&gt;計算シート!$C$123,計算シート!$C$124,IF(B31&gt;計算シート!$C$121,計算シート!$C$122,計算シート!$C$119))/12,(A29*12-9),$D$9*12,$E$11*10000)-ISPMT(IF(B31&gt;計算シート!$C$123,計算シート!$C$124,IF(B31&gt;計算シート!$C$121,計算シート!$C$122,計算シート!$C$119))/12,(A29*12-8),$D$9*12,$E$11*10000)-ISPMT(IF(B31&gt;計算シート!$C$123,計算シート!$C$124,IF(B31&gt;計算シート!$C$121,計算シート!$C$122,計算シート!$C$119))/12,(A29*12-7),$D$9*12,$E$11*10000)-ISPMT(IF(B31&gt;計算シート!$C$123,計算シート!$C$124,IF(B31&gt;計算シート!$C$121,計算シート!$C$122,計算シート!$C$119))/12,(A29*12-6),$D$9*12,$E$11*10000)-ISPMT(IF(B31&gt;計算シート!$C$123,計算シート!$C$124,IF(B31&gt;計算シート!$C$121,計算シート!$C$122,計算シート!$C$119))/12,(A29*12-5),$D$9*12,$E$11*10000)-ISPMT(IF(B31&gt;計算シート!$C$123,計算シート!$C$124,IF(B31&gt;計算シート!$C$121,計算シート!$C$122,計算シート!$C$119))/12,(A29*12-4),$D$9*12,$E$11*10000)-ISPMT(IF(B31&gt;計算シート!$C$123,計算シート!$C$124,IF(B31&gt;計算シート!$C$121,計算シート!$C$122,計算シート!$C$119))/12,(A29*12-3),$D$9*12,$E$11*10000)-ISPMT(IF(B31&gt;計算シート!$C$123,計算シート!$C$124,IF(B31&gt;計算シート!$C$121,計算シート!$C$122,計算シート!$C$119))/12,(A29*12-2),$D$9*12,$E$11*10000)-ISPMT(IF(B31&gt;計算シート!$C$123,計算シート!$C$124,IF(B31&gt;計算シート!$C$121,計算シート!$C$122,計算シート!$C$119))/12,(A29*12-1),$D$9*12,$E$11*10000),0))</f>
        <v/>
      </c>
      <c r="D29" s="45" t="str">
        <f t="shared" si="1"/>
        <v/>
      </c>
      <c r="E29" s="46" t="str">
        <f t="shared" si="4"/>
        <v/>
      </c>
      <c r="F29" s="44" t="str">
        <f>IF($E$12="","",IF(B29="","",ROUNDUP(-ISPMT(IF(B31&gt;計算シート!$C$123,計算シート!$C$124,IF(B31&gt;計算シート!$C$121,計算シート!$C$122,計算シート!$C$119))/2,(A29*2-2),$D$9*2,$E$12*10000)-ISPMT(IF(B31&gt;計算シート!$C$123,計算シート!$C$124,IF(B31&gt;計算シート!$C$121,計算シート!$C$122,計算シート!$C$119))/2,(A29*2-1),$D$9*2,$E$12*10000),0)))</f>
        <v/>
      </c>
      <c r="G29" s="33" t="str">
        <f t="shared" si="2"/>
        <v/>
      </c>
      <c r="H29" s="36" t="str">
        <f t="shared" si="5"/>
        <v/>
      </c>
      <c r="I29" s="604" t="str">
        <f t="shared" si="6"/>
        <v/>
      </c>
      <c r="J29" s="68"/>
      <c r="K29" s="68"/>
      <c r="L29" s="68"/>
      <c r="M29" s="68"/>
      <c r="N29" s="68"/>
      <c r="O29" s="68"/>
      <c r="P29" s="68"/>
    </row>
    <row r="30" spans="1:16" ht="17.25" customHeight="1">
      <c r="A30" s="31" t="str">
        <f t="shared" si="3"/>
        <v/>
      </c>
      <c r="B30" t="str">
        <f t="shared" si="0"/>
        <v/>
      </c>
      <c r="C30" s="32" t="str">
        <f>IF(B30="","",ROUNDUP(-ISPMT(IF(B32&gt;計算シート!$C$123,計算シート!$C$124,IF(B32&gt;計算シート!$C$121,計算シート!$C$122,計算シート!$C$119))/12,(A30*12-12),$D$9*12,$E$11*10000)-ISPMT(IF(B32&gt;計算シート!$C$123,計算シート!$C$124,IF(B32&gt;計算シート!$C$121,計算シート!$C$122,計算シート!$C$119))/12,(A30*12-11),$D$9*12,$E$11*10000)-ISPMT(IF(B32&gt;計算シート!$C$123,計算シート!$C$124,IF(B32&gt;計算シート!$C$121,計算シート!$C$122,計算シート!$C$119))/12,(A30*12-10),$D$9*12,$E$11*10000)-ISPMT(IF(B32&gt;計算シート!$C$123,計算シート!$C$124,IF(B32&gt;計算シート!$C$121,計算シート!$C$122,計算シート!$C$119))/12,(A30*12-9),$D$9*12,$E$11*10000)-ISPMT(IF(B32&gt;計算シート!$C$123,計算シート!$C$124,IF(B32&gt;計算シート!$C$121,計算シート!$C$122,計算シート!$C$119))/12,(A30*12-8),$D$9*12,$E$11*10000)-ISPMT(IF(B32&gt;計算シート!$C$123,計算シート!$C$124,IF(B32&gt;計算シート!$C$121,計算シート!$C$122,計算シート!$C$119))/12,(A30*12-7),$D$9*12,$E$11*10000)-ISPMT(IF(B32&gt;計算シート!$C$123,計算シート!$C$124,IF(B32&gt;計算シート!$C$121,計算シート!$C$122,計算シート!$C$119))/12,(A30*12-6),$D$9*12,$E$11*10000)-ISPMT(IF(B32&gt;計算シート!$C$123,計算シート!$C$124,IF(B32&gt;計算シート!$C$121,計算シート!$C$122,計算シート!$C$119))/12,(A30*12-5),$D$9*12,$E$11*10000)-ISPMT(IF(B32&gt;計算シート!$C$123,計算シート!$C$124,IF(B32&gt;計算シート!$C$121,計算シート!$C$122,計算シート!$C$119))/12,(A30*12-4),$D$9*12,$E$11*10000)-ISPMT(IF(B32&gt;計算シート!$C$123,計算シート!$C$124,IF(B32&gt;計算シート!$C$121,計算シート!$C$122,計算シート!$C$119))/12,(A30*12-3),$D$9*12,$E$11*10000)-ISPMT(IF(B32&gt;計算シート!$C$123,計算シート!$C$124,IF(B32&gt;計算シート!$C$121,計算シート!$C$122,計算シート!$C$119))/12,(A30*12-2),$D$9*12,$E$11*10000)-ISPMT(IF(B32&gt;計算シート!$C$123,計算シート!$C$124,IF(B32&gt;計算シート!$C$121,計算シート!$C$122,計算シート!$C$119))/12,(A30*12-1),$D$9*12,$E$11*10000),0))</f>
        <v/>
      </c>
      <c r="D30" s="33" t="str">
        <f t="shared" si="1"/>
        <v/>
      </c>
      <c r="E30" s="34" t="str">
        <f t="shared" si="4"/>
        <v/>
      </c>
      <c r="F30" s="35" t="str">
        <f>IF($E$12="","",IF(B30="","",ROUNDUP(-ISPMT(IF(B32&gt;計算シート!$C$123,計算シート!$C$124,IF(B32&gt;計算シート!$C$121,計算シート!$C$122,計算シート!$C$119))/2,(A30*2-2),$D$9*2,$E$12*10000)-ISPMT(IF(B32&gt;計算シート!$C$123,計算シート!$C$124,IF(B32&gt;計算シート!$C$121,計算シート!$C$122,計算シート!$C$119))/2,(A30*2-1),$D$9*2,$E$12*10000),0)))</f>
        <v/>
      </c>
      <c r="G30" s="33" t="str">
        <f t="shared" si="2"/>
        <v/>
      </c>
      <c r="H30" s="36" t="str">
        <f t="shared" si="5"/>
        <v/>
      </c>
      <c r="I30" s="37" t="str">
        <f t="shared" si="6"/>
        <v/>
      </c>
      <c r="J30" s="68"/>
      <c r="K30" s="68"/>
      <c r="L30" s="68"/>
      <c r="M30" s="68"/>
      <c r="N30" s="68"/>
      <c r="O30" s="68"/>
      <c r="P30" s="68"/>
    </row>
    <row r="31" spans="1:16" ht="17.25" customHeight="1">
      <c r="A31" s="31" t="str">
        <f t="shared" si="3"/>
        <v/>
      </c>
      <c r="B31" t="str">
        <f t="shared" si="0"/>
        <v/>
      </c>
      <c r="C31" s="32" t="str">
        <f>IF(B31="","",ROUNDUP(-ISPMT(IF(B33&gt;計算シート!$C$123,計算シート!$C$124,IF(B33&gt;計算シート!$C$121,計算シート!$C$122,計算シート!$C$119))/12,(A31*12-12),$D$9*12,$E$11*10000)-ISPMT(IF(B33&gt;計算シート!$C$123,計算シート!$C$124,IF(B33&gt;計算シート!$C$121,計算シート!$C$122,計算シート!$C$119))/12,(A31*12-11),$D$9*12,$E$11*10000)-ISPMT(IF(B33&gt;計算シート!$C$123,計算シート!$C$124,IF(B33&gt;計算シート!$C$121,計算シート!$C$122,計算シート!$C$119))/12,(A31*12-10),$D$9*12,$E$11*10000)-ISPMT(IF(B33&gt;計算シート!$C$123,計算シート!$C$124,IF(B33&gt;計算シート!$C$121,計算シート!$C$122,計算シート!$C$119))/12,(A31*12-9),$D$9*12,$E$11*10000)-ISPMT(IF(B33&gt;計算シート!$C$123,計算シート!$C$124,IF(B33&gt;計算シート!$C$121,計算シート!$C$122,計算シート!$C$119))/12,(A31*12-8),$D$9*12,$E$11*10000)-ISPMT(IF(B33&gt;計算シート!$C$123,計算シート!$C$124,IF(B33&gt;計算シート!$C$121,計算シート!$C$122,計算シート!$C$119))/12,(A31*12-7),$D$9*12,$E$11*10000)-ISPMT(IF(B33&gt;計算シート!$C$123,計算シート!$C$124,IF(B33&gt;計算シート!$C$121,計算シート!$C$122,計算シート!$C$119))/12,(A31*12-6),$D$9*12,$E$11*10000)-ISPMT(IF(B33&gt;計算シート!$C$123,計算シート!$C$124,IF(B33&gt;計算シート!$C$121,計算シート!$C$122,計算シート!$C$119))/12,(A31*12-5),$D$9*12,$E$11*10000)-ISPMT(IF(B33&gt;計算シート!$C$123,計算シート!$C$124,IF(B33&gt;計算シート!$C$121,計算シート!$C$122,計算シート!$C$119))/12,(A31*12-4),$D$9*12,$E$11*10000)-ISPMT(IF(B33&gt;計算シート!$C$123,計算シート!$C$124,IF(B33&gt;計算シート!$C$121,計算シート!$C$122,計算シート!$C$119))/12,(A31*12-3),$D$9*12,$E$11*10000)-ISPMT(IF(B33&gt;計算シート!$C$123,計算シート!$C$124,IF(B33&gt;計算シート!$C$121,計算シート!$C$122,計算シート!$C$119))/12,(A31*12-2),$D$9*12,$E$11*10000)-ISPMT(IF(B33&gt;計算シート!$C$123,計算シート!$C$124,IF(B33&gt;計算シート!$C$121,計算シート!$C$122,計算シート!$C$119))/12,(A31*12-1),$D$9*12,$E$11*10000),0))</f>
        <v/>
      </c>
      <c r="D31" s="33" t="str">
        <f t="shared" si="1"/>
        <v/>
      </c>
      <c r="E31" s="34" t="str">
        <f t="shared" si="4"/>
        <v/>
      </c>
      <c r="F31" s="35" t="str">
        <f>IF($E$12="","",IF(B31="","",ROUNDUP(-ISPMT(IF(B33&gt;計算シート!$C$123,計算シート!$C$124,IF(B33&gt;計算シート!$C$121,計算シート!$C$122,計算シート!$C$119))/2,(A31*2-2),$D$9*2,$E$12*10000)-ISPMT(IF(B33&gt;計算シート!$C$123,計算シート!$C$124,IF(B33&gt;計算シート!$C$121,計算シート!$C$122,計算シート!$C$119))/2,(A31*2-1),$D$9*2,$E$12*10000),0)))</f>
        <v/>
      </c>
      <c r="G31" s="33" t="str">
        <f t="shared" si="2"/>
        <v/>
      </c>
      <c r="H31" s="36" t="str">
        <f t="shared" si="5"/>
        <v/>
      </c>
      <c r="I31" s="37" t="str">
        <f t="shared" si="6"/>
        <v/>
      </c>
      <c r="J31" s="68"/>
      <c r="K31" s="68"/>
      <c r="L31" s="68"/>
      <c r="M31" s="68"/>
      <c r="N31" s="68"/>
      <c r="O31" s="68"/>
      <c r="P31" s="68"/>
    </row>
    <row r="32" spans="1:16" ht="17.25" customHeight="1">
      <c r="A32" s="31" t="str">
        <f t="shared" si="3"/>
        <v/>
      </c>
      <c r="B32" t="str">
        <f t="shared" si="0"/>
        <v/>
      </c>
      <c r="C32" s="32" t="str">
        <f>IF(B32="","",ROUNDUP(-ISPMT(IF(B34&gt;計算シート!$C$123,計算シート!$C$124,IF(B34&gt;計算シート!$C$121,計算シート!$C$122,計算シート!$C$119))/12,(A32*12-12),$D$9*12,$E$11*10000)-ISPMT(IF(B34&gt;計算シート!$C$123,計算シート!$C$124,IF(B34&gt;計算シート!$C$121,計算シート!$C$122,計算シート!$C$119))/12,(A32*12-11),$D$9*12,$E$11*10000)-ISPMT(IF(B34&gt;計算シート!$C$123,計算シート!$C$124,IF(B34&gt;計算シート!$C$121,計算シート!$C$122,計算シート!$C$119))/12,(A32*12-10),$D$9*12,$E$11*10000)-ISPMT(IF(B34&gt;計算シート!$C$123,計算シート!$C$124,IF(B34&gt;計算シート!$C$121,計算シート!$C$122,計算シート!$C$119))/12,(A32*12-9),$D$9*12,$E$11*10000)-ISPMT(IF(B34&gt;計算シート!$C$123,計算シート!$C$124,IF(B34&gt;計算シート!$C$121,計算シート!$C$122,計算シート!$C$119))/12,(A32*12-8),$D$9*12,$E$11*10000)-ISPMT(IF(B34&gt;計算シート!$C$123,計算シート!$C$124,IF(B34&gt;計算シート!$C$121,計算シート!$C$122,計算シート!$C$119))/12,(A32*12-7),$D$9*12,$E$11*10000)-ISPMT(IF(B34&gt;計算シート!$C$123,計算シート!$C$124,IF(B34&gt;計算シート!$C$121,計算シート!$C$122,計算シート!$C$119))/12,(A32*12-6),$D$9*12,$E$11*10000)-ISPMT(IF(B34&gt;計算シート!$C$123,計算シート!$C$124,IF(B34&gt;計算シート!$C$121,計算シート!$C$122,計算シート!$C$119))/12,(A32*12-5),$D$9*12,$E$11*10000)-ISPMT(IF(B34&gt;計算シート!$C$123,計算シート!$C$124,IF(B34&gt;計算シート!$C$121,計算シート!$C$122,計算シート!$C$119))/12,(A32*12-4),$D$9*12,$E$11*10000)-ISPMT(IF(B34&gt;計算シート!$C$123,計算シート!$C$124,IF(B34&gt;計算シート!$C$121,計算シート!$C$122,計算シート!$C$119))/12,(A32*12-3),$D$9*12,$E$11*10000)-ISPMT(IF(B34&gt;計算シート!$C$123,計算シート!$C$124,IF(B34&gt;計算シート!$C$121,計算シート!$C$122,計算シート!$C$119))/12,(A32*12-2),$D$9*12,$E$11*10000)-ISPMT(IF(B34&gt;計算シート!$C$123,計算シート!$C$124,IF(B34&gt;計算シート!$C$121,計算シート!$C$122,計算シート!$C$119))/12,(A32*12-1),$D$9*12,$E$11*10000),0))</f>
        <v/>
      </c>
      <c r="D32" s="33" t="str">
        <f t="shared" si="1"/>
        <v/>
      </c>
      <c r="E32" s="34" t="str">
        <f t="shared" si="4"/>
        <v/>
      </c>
      <c r="F32" s="35" t="str">
        <f>IF($E$12="","",IF(B32="","",ROUNDUP(-ISPMT(IF(B34&gt;計算シート!$C$123,計算シート!$C$124,IF(B34&gt;計算シート!$C$121,計算シート!$C$122,計算シート!$C$119))/2,(A32*2-2),$D$9*2,$E$12*10000)-ISPMT(IF(B34&gt;計算シート!$C$123,計算シート!$C$124,IF(B34&gt;計算シート!$C$121,計算シート!$C$122,計算シート!$C$119))/2,(A32*2-1),$D$9*2,$E$12*10000),0)))</f>
        <v/>
      </c>
      <c r="G32" s="33" t="str">
        <f t="shared" si="2"/>
        <v/>
      </c>
      <c r="H32" s="36" t="str">
        <f t="shared" si="5"/>
        <v/>
      </c>
      <c r="I32" s="37" t="str">
        <f t="shared" si="6"/>
        <v/>
      </c>
      <c r="J32" s="68"/>
      <c r="K32" s="68"/>
      <c r="L32" s="68"/>
      <c r="M32" s="68"/>
      <c r="N32" s="68"/>
      <c r="O32" s="68"/>
      <c r="P32" s="68"/>
    </row>
    <row r="33" spans="1:16" ht="17.25" customHeight="1">
      <c r="A33" s="31" t="str">
        <f t="shared" si="3"/>
        <v/>
      </c>
      <c r="B33" t="str">
        <f t="shared" si="0"/>
        <v/>
      </c>
      <c r="C33" s="39" t="str">
        <f>IF(B33="","",ROUNDUP(-ISPMT(IF(B35&gt;計算シート!$C$123,計算シート!$C$124,IF(B35&gt;計算シート!$C$121,計算シート!$C$122,計算シート!$C$119))/12,(A33*12-12),$D$9*12,$E$11*10000)-ISPMT(IF(B35&gt;計算シート!$C$123,計算シート!$C$124,IF(B35&gt;計算シート!$C$121,計算シート!$C$122,計算シート!$C$119))/12,(A33*12-11),$D$9*12,$E$11*10000)-ISPMT(IF(B35&gt;計算シート!$C$123,計算シート!$C$124,IF(B35&gt;計算シート!$C$121,計算シート!$C$122,計算シート!$C$119))/12,(A33*12-10),$D$9*12,$E$11*10000)-ISPMT(IF(B35&gt;計算シート!$C$123,計算シート!$C$124,IF(B35&gt;計算シート!$C$121,計算シート!$C$122,計算シート!$C$119))/12,(A33*12-9),$D$9*12,$E$11*10000)-ISPMT(IF(B35&gt;計算シート!$C$123,計算シート!$C$124,IF(B35&gt;計算シート!$C$121,計算シート!$C$122,計算シート!$C$119))/12,(A33*12-8),$D$9*12,$E$11*10000)-ISPMT(IF(B35&gt;計算シート!$C$123,計算シート!$C$124,IF(B35&gt;計算シート!$C$121,計算シート!$C$122,計算シート!$C$119))/12,(A33*12-7),$D$9*12,$E$11*10000)-ISPMT(IF(B35&gt;計算シート!$C$123,計算シート!$C$124,IF(B35&gt;計算シート!$C$121,計算シート!$C$122,計算シート!$C$119))/12,(A33*12-6),$D$9*12,$E$11*10000)-ISPMT(IF(B35&gt;計算シート!$C$123,計算シート!$C$124,IF(B35&gt;計算シート!$C$121,計算シート!$C$122,計算シート!$C$119))/12,(A33*12-5),$D$9*12,$E$11*10000)-ISPMT(IF(B35&gt;計算シート!$C$123,計算シート!$C$124,IF(B35&gt;計算シート!$C$121,計算シート!$C$122,計算シート!$C$119))/12,(A33*12-4),$D$9*12,$E$11*10000)-ISPMT(IF(B35&gt;計算シート!$C$123,計算シート!$C$124,IF(B35&gt;計算シート!$C$121,計算シート!$C$122,計算シート!$C$119))/12,(A33*12-3),$D$9*12,$E$11*10000)-ISPMT(IF(B35&gt;計算シート!$C$123,計算シート!$C$124,IF(B35&gt;計算シート!$C$121,計算シート!$C$122,計算シート!$C$119))/12,(A33*12-2),$D$9*12,$E$11*10000)-ISPMT(IF(B35&gt;計算シート!$C$123,計算シート!$C$124,IF(B35&gt;計算シート!$C$121,計算シート!$C$122,計算シート!$C$119))/12,(A33*12-1),$D$9*12,$E$11*10000),0))</f>
        <v/>
      </c>
      <c r="D33" s="40" t="str">
        <f t="shared" si="1"/>
        <v/>
      </c>
      <c r="E33" s="41" t="str">
        <f t="shared" si="4"/>
        <v/>
      </c>
      <c r="F33" s="291" t="str">
        <f>IF($E$12="","",IF(B33="","",ROUNDUP(-ISPMT(IF(B35&gt;計算シート!$C$123,計算シート!$C$124,IF(B35&gt;計算シート!$C$121,計算シート!$C$122,計算シート!$C$119))/2,(A33*2-2),$D$9*2,$E$12*10000)-ISPMT(IF(B35&gt;計算シート!$C$123,計算シート!$C$124,IF(B35&gt;計算シート!$C$121,計算シート!$C$122,計算シート!$C$119))/2,(A33*2-1),$D$9*2,$E$12*10000),0)))</f>
        <v/>
      </c>
      <c r="G33" s="40" t="str">
        <f t="shared" si="2"/>
        <v/>
      </c>
      <c r="H33" s="42" t="str">
        <f t="shared" si="5"/>
        <v/>
      </c>
      <c r="I33" s="603" t="str">
        <f t="shared" si="6"/>
        <v/>
      </c>
      <c r="J33" s="68"/>
      <c r="K33" s="68"/>
      <c r="L33" s="68"/>
      <c r="M33" s="68"/>
      <c r="N33" s="68"/>
      <c r="O33" s="68"/>
      <c r="P33" s="68"/>
    </row>
    <row r="34" spans="1:16" ht="17.25" customHeight="1">
      <c r="A34" s="31" t="str">
        <f t="shared" si="3"/>
        <v/>
      </c>
      <c r="B34" t="str">
        <f t="shared" si="0"/>
        <v/>
      </c>
      <c r="C34" s="236" t="str">
        <f>IF(B34="","",ROUNDUP(-ISPMT(IF(B36&gt;計算シート!$C$123,計算シート!$C$124,IF(B36&gt;計算シート!$C$121,計算シート!$C$122,計算シート!$C$119))/12,(A34*12-12),$D$9*12,$E$11*10000)-ISPMT(IF(B36&gt;計算シート!$C$123,計算シート!$C$124,IF(B36&gt;計算シート!$C$121,計算シート!$C$122,計算シート!$C$119))/12,(A34*12-11),$D$9*12,$E$11*10000)-ISPMT(IF(B36&gt;計算シート!$C$123,計算シート!$C$124,IF(B36&gt;計算シート!$C$121,計算シート!$C$122,計算シート!$C$119))/12,(A34*12-10),$D$9*12,$E$11*10000)-ISPMT(IF(B36&gt;計算シート!$C$123,計算シート!$C$124,IF(B36&gt;計算シート!$C$121,計算シート!$C$122,計算シート!$C$119))/12,(A34*12-9),$D$9*12,$E$11*10000)-ISPMT(IF(B36&gt;計算シート!$C$123,計算シート!$C$124,IF(B36&gt;計算シート!$C$121,計算シート!$C$122,計算シート!$C$119))/12,(A34*12-8),$D$9*12,$E$11*10000)-ISPMT(IF(B36&gt;計算シート!$C$123,計算シート!$C$124,IF(B36&gt;計算シート!$C$121,計算シート!$C$122,計算シート!$C$119))/12,(A34*12-7),$D$9*12,$E$11*10000)-ISPMT(IF(B36&gt;計算シート!$C$123,計算シート!$C$124,IF(B36&gt;計算シート!$C$121,計算シート!$C$122,計算シート!$C$119))/12,(A34*12-6),$D$9*12,$E$11*10000)-ISPMT(IF(B36&gt;計算シート!$C$123,計算シート!$C$124,IF(B36&gt;計算シート!$C$121,計算シート!$C$122,計算シート!$C$119))/12,(A34*12-5),$D$9*12,$E$11*10000)-ISPMT(IF(B36&gt;計算シート!$C$123,計算シート!$C$124,IF(B36&gt;計算シート!$C$121,計算シート!$C$122,計算シート!$C$119))/12,(A34*12-4),$D$9*12,$E$11*10000)-ISPMT(IF(B36&gt;計算シート!$C$123,計算シート!$C$124,IF(B36&gt;計算シート!$C$121,計算シート!$C$122,計算シート!$C$119))/12,(A34*12-3),$D$9*12,$E$11*10000)-ISPMT(IF(B36&gt;計算シート!$C$123,計算シート!$C$124,IF(B36&gt;計算シート!$C$121,計算シート!$C$122,計算シート!$C$119))/12,(A34*12-2),$D$9*12,$E$11*10000)-ISPMT(IF(B36&gt;計算シート!$C$123,計算シート!$C$124,IF(B36&gt;計算シート!$C$121,計算シート!$C$122,計算シート!$C$119))/12,(A34*12-1),$D$9*12,$E$11*10000),0))</f>
        <v/>
      </c>
      <c r="D34" s="45" t="str">
        <f t="shared" si="1"/>
        <v/>
      </c>
      <c r="E34" s="46" t="str">
        <f t="shared" si="4"/>
        <v/>
      </c>
      <c r="F34" s="44" t="str">
        <f>IF($E$12="","",IF(B34="","",ROUNDUP(-ISPMT(IF(B36&gt;計算シート!$C$123,計算シート!$C$124,IF(B36&gt;計算シート!$C$121,計算シート!$C$122,計算シート!$C$119))/2,(A34*2-2),$D$9*2,$E$12*10000)-ISPMT(IF(B36&gt;計算シート!$C$123,計算シート!$C$124,IF(B36&gt;計算シート!$C$121,計算シート!$C$122,計算シート!$C$119))/2,(A34*2-1),$D$9*2,$E$12*10000),0)))</f>
        <v/>
      </c>
      <c r="G34" s="33" t="str">
        <f t="shared" si="2"/>
        <v/>
      </c>
      <c r="H34" s="36" t="str">
        <f t="shared" si="5"/>
        <v/>
      </c>
      <c r="I34" s="604" t="str">
        <f t="shared" si="6"/>
        <v/>
      </c>
      <c r="J34" s="68"/>
      <c r="K34" s="68"/>
      <c r="L34" s="68"/>
      <c r="M34" s="68"/>
      <c r="N34" s="68"/>
      <c r="O34" s="68"/>
      <c r="P34" s="68"/>
    </row>
    <row r="35" spans="1:16" ht="17.25" customHeight="1">
      <c r="A35" s="31" t="str">
        <f t="shared" si="3"/>
        <v/>
      </c>
      <c r="B35" t="str">
        <f t="shared" si="0"/>
        <v/>
      </c>
      <c r="C35" s="32" t="str">
        <f>IF(B35="","",ROUNDUP(-ISPMT(IF(B37&gt;計算シート!$C$123,計算シート!$C$124,IF(B37&gt;計算シート!$C$121,計算シート!$C$122,計算シート!$C$119))/12,(A35*12-12),$D$9*12,$E$11*10000)-ISPMT(IF(B37&gt;計算シート!$C$123,計算シート!$C$124,IF(B37&gt;計算シート!$C$121,計算シート!$C$122,計算シート!$C$119))/12,(A35*12-11),$D$9*12,$E$11*10000)-ISPMT(IF(B37&gt;計算シート!$C$123,計算シート!$C$124,IF(B37&gt;計算シート!$C$121,計算シート!$C$122,計算シート!$C$119))/12,(A35*12-10),$D$9*12,$E$11*10000)-ISPMT(IF(B37&gt;計算シート!$C$123,計算シート!$C$124,IF(B37&gt;計算シート!$C$121,計算シート!$C$122,計算シート!$C$119))/12,(A35*12-9),$D$9*12,$E$11*10000)-ISPMT(IF(B37&gt;計算シート!$C$123,計算シート!$C$124,IF(B37&gt;計算シート!$C$121,計算シート!$C$122,計算シート!$C$119))/12,(A35*12-8),$D$9*12,$E$11*10000)-ISPMT(IF(B37&gt;計算シート!$C$123,計算シート!$C$124,IF(B37&gt;計算シート!$C$121,計算シート!$C$122,計算シート!$C$119))/12,(A35*12-7),$D$9*12,$E$11*10000)-ISPMT(IF(B37&gt;計算シート!$C$123,計算シート!$C$124,IF(B37&gt;計算シート!$C$121,計算シート!$C$122,計算シート!$C$119))/12,(A35*12-6),$D$9*12,$E$11*10000)-ISPMT(IF(B37&gt;計算シート!$C$123,計算シート!$C$124,IF(B37&gt;計算シート!$C$121,計算シート!$C$122,計算シート!$C$119))/12,(A35*12-5),$D$9*12,$E$11*10000)-ISPMT(IF(B37&gt;計算シート!$C$123,計算シート!$C$124,IF(B37&gt;計算シート!$C$121,計算シート!$C$122,計算シート!$C$119))/12,(A35*12-4),$D$9*12,$E$11*10000)-ISPMT(IF(B37&gt;計算シート!$C$123,計算シート!$C$124,IF(B37&gt;計算シート!$C$121,計算シート!$C$122,計算シート!$C$119))/12,(A35*12-3),$D$9*12,$E$11*10000)-ISPMT(IF(B37&gt;計算シート!$C$123,計算シート!$C$124,IF(B37&gt;計算シート!$C$121,計算シート!$C$122,計算シート!$C$119))/12,(A35*12-2),$D$9*12,$E$11*10000)-ISPMT(IF(B37&gt;計算シート!$C$123,計算シート!$C$124,IF(B37&gt;計算シート!$C$121,計算シート!$C$122,計算シート!$C$119))/12,(A35*12-1),$D$9*12,$E$11*10000),0))</f>
        <v/>
      </c>
      <c r="D35" s="33" t="str">
        <f t="shared" si="1"/>
        <v/>
      </c>
      <c r="E35" s="34" t="str">
        <f t="shared" si="4"/>
        <v/>
      </c>
      <c r="F35" s="35" t="str">
        <f>IF($E$12="","",IF(B35="","",ROUNDUP(-ISPMT(IF(B37&gt;計算シート!$C$123,計算シート!$C$124,IF(B37&gt;計算シート!$C$121,計算シート!$C$122,計算シート!$C$119))/2,(A35*2-2),$D$9*2,$E$12*10000)-ISPMT(IF(B37&gt;計算シート!$C$123,計算シート!$C$124,IF(B37&gt;計算シート!$C$121,計算シート!$C$122,計算シート!$C$119))/2,(A35*2-1),$D$9*2,$E$12*10000),0)))</f>
        <v/>
      </c>
      <c r="G35" s="33" t="str">
        <f t="shared" si="2"/>
        <v/>
      </c>
      <c r="H35" s="36" t="str">
        <f t="shared" si="5"/>
        <v/>
      </c>
      <c r="I35" s="37" t="str">
        <f t="shared" si="6"/>
        <v/>
      </c>
      <c r="J35" s="68"/>
      <c r="K35" s="68"/>
      <c r="L35" s="68"/>
      <c r="M35" s="68"/>
      <c r="N35" s="68"/>
      <c r="O35" s="68"/>
      <c r="P35" s="68"/>
    </row>
    <row r="36" spans="1:16" ht="17.25" customHeight="1">
      <c r="A36" s="31" t="str">
        <f t="shared" si="3"/>
        <v/>
      </c>
      <c r="B36" t="str">
        <f t="shared" si="0"/>
        <v/>
      </c>
      <c r="C36" s="32" t="str">
        <f>IF(B36="","",ROUNDUP(-ISPMT(IF(B38&gt;計算シート!$C$123,計算シート!$C$124,IF(B38&gt;計算シート!$C$121,計算シート!$C$122,計算シート!$C$119))/12,(A36*12-12),$D$9*12,$E$11*10000)-ISPMT(IF(B38&gt;計算シート!$C$123,計算シート!$C$124,IF(B38&gt;計算シート!$C$121,計算シート!$C$122,計算シート!$C$119))/12,(A36*12-11),$D$9*12,$E$11*10000)-ISPMT(IF(B38&gt;計算シート!$C$123,計算シート!$C$124,IF(B38&gt;計算シート!$C$121,計算シート!$C$122,計算シート!$C$119))/12,(A36*12-10),$D$9*12,$E$11*10000)-ISPMT(IF(B38&gt;計算シート!$C$123,計算シート!$C$124,IF(B38&gt;計算シート!$C$121,計算シート!$C$122,計算シート!$C$119))/12,(A36*12-9),$D$9*12,$E$11*10000)-ISPMT(IF(B38&gt;計算シート!$C$123,計算シート!$C$124,IF(B38&gt;計算シート!$C$121,計算シート!$C$122,計算シート!$C$119))/12,(A36*12-8),$D$9*12,$E$11*10000)-ISPMT(IF(B38&gt;計算シート!$C$123,計算シート!$C$124,IF(B38&gt;計算シート!$C$121,計算シート!$C$122,計算シート!$C$119))/12,(A36*12-7),$D$9*12,$E$11*10000)-ISPMT(IF(B38&gt;計算シート!$C$123,計算シート!$C$124,IF(B38&gt;計算シート!$C$121,計算シート!$C$122,計算シート!$C$119))/12,(A36*12-6),$D$9*12,$E$11*10000)-ISPMT(IF(B38&gt;計算シート!$C$123,計算シート!$C$124,IF(B38&gt;計算シート!$C$121,計算シート!$C$122,計算シート!$C$119))/12,(A36*12-5),$D$9*12,$E$11*10000)-ISPMT(IF(B38&gt;計算シート!$C$123,計算シート!$C$124,IF(B38&gt;計算シート!$C$121,計算シート!$C$122,計算シート!$C$119))/12,(A36*12-4),$D$9*12,$E$11*10000)-ISPMT(IF(B38&gt;計算シート!$C$123,計算シート!$C$124,IF(B38&gt;計算シート!$C$121,計算シート!$C$122,計算シート!$C$119))/12,(A36*12-3),$D$9*12,$E$11*10000)-ISPMT(IF(B38&gt;計算シート!$C$123,計算シート!$C$124,IF(B38&gt;計算シート!$C$121,計算シート!$C$122,計算シート!$C$119))/12,(A36*12-2),$D$9*12,$E$11*10000)-ISPMT(IF(B38&gt;計算シート!$C$123,計算シート!$C$124,IF(B38&gt;計算シート!$C$121,計算シート!$C$122,計算シート!$C$119))/12,(A36*12-1),$D$9*12,$E$11*10000),0))</f>
        <v/>
      </c>
      <c r="D36" s="33" t="str">
        <f t="shared" si="1"/>
        <v/>
      </c>
      <c r="E36" s="34" t="str">
        <f t="shared" si="4"/>
        <v/>
      </c>
      <c r="F36" s="35" t="str">
        <f>IF($E$12="","",IF(B36="","",ROUNDUP(-ISPMT(IF(B38&gt;計算シート!$C$123,計算シート!$C$124,IF(B38&gt;計算シート!$C$121,計算シート!$C$122,計算シート!$C$119))/2,(A36*2-2),$D$9*2,$E$12*10000)-ISPMT(IF(B38&gt;計算シート!$C$123,計算シート!$C$124,IF(B38&gt;計算シート!$C$121,計算シート!$C$122,計算シート!$C$119))/2,(A36*2-1),$D$9*2,$E$12*10000),0)))</f>
        <v/>
      </c>
      <c r="G36" s="33" t="str">
        <f t="shared" si="2"/>
        <v/>
      </c>
      <c r="H36" s="36" t="str">
        <f t="shared" si="5"/>
        <v/>
      </c>
      <c r="I36" s="37" t="str">
        <f t="shared" si="6"/>
        <v/>
      </c>
      <c r="J36" s="68"/>
      <c r="K36" s="68"/>
      <c r="L36" s="68"/>
      <c r="M36" s="68"/>
      <c r="N36" s="68"/>
      <c r="O36" s="68"/>
      <c r="P36" s="68"/>
    </row>
    <row r="37" spans="1:16" ht="17.25" customHeight="1">
      <c r="A37" s="31" t="str">
        <f t="shared" si="3"/>
        <v/>
      </c>
      <c r="B37" t="str">
        <f t="shared" si="0"/>
        <v/>
      </c>
      <c r="C37" s="32" t="str">
        <f>IF(B37="","",ROUNDUP(-ISPMT(IF(B39&gt;計算シート!$C$123,計算シート!$C$124,IF(B39&gt;計算シート!$C$121,計算シート!$C$122,計算シート!$C$119))/12,(A37*12-12),$D$9*12,$E$11*10000)-ISPMT(IF(B39&gt;計算シート!$C$123,計算シート!$C$124,IF(B39&gt;計算シート!$C$121,計算シート!$C$122,計算シート!$C$119))/12,(A37*12-11),$D$9*12,$E$11*10000)-ISPMT(IF(B39&gt;計算シート!$C$123,計算シート!$C$124,IF(B39&gt;計算シート!$C$121,計算シート!$C$122,計算シート!$C$119))/12,(A37*12-10),$D$9*12,$E$11*10000)-ISPMT(IF(B39&gt;計算シート!$C$123,計算シート!$C$124,IF(B39&gt;計算シート!$C$121,計算シート!$C$122,計算シート!$C$119))/12,(A37*12-9),$D$9*12,$E$11*10000)-ISPMT(IF(B39&gt;計算シート!$C$123,計算シート!$C$124,IF(B39&gt;計算シート!$C$121,計算シート!$C$122,計算シート!$C$119))/12,(A37*12-8),$D$9*12,$E$11*10000)-ISPMT(IF(B39&gt;計算シート!$C$123,計算シート!$C$124,IF(B39&gt;計算シート!$C$121,計算シート!$C$122,計算シート!$C$119))/12,(A37*12-7),$D$9*12,$E$11*10000)-ISPMT(IF(B39&gt;計算シート!$C$123,計算シート!$C$124,IF(B39&gt;計算シート!$C$121,計算シート!$C$122,計算シート!$C$119))/12,(A37*12-6),$D$9*12,$E$11*10000)-ISPMT(IF(B39&gt;計算シート!$C$123,計算シート!$C$124,IF(B39&gt;計算シート!$C$121,計算シート!$C$122,計算シート!$C$119))/12,(A37*12-5),$D$9*12,$E$11*10000)-ISPMT(IF(B39&gt;計算シート!$C$123,計算シート!$C$124,IF(B39&gt;計算シート!$C$121,計算シート!$C$122,計算シート!$C$119))/12,(A37*12-4),$D$9*12,$E$11*10000)-ISPMT(IF(B39&gt;計算シート!$C$123,計算シート!$C$124,IF(B39&gt;計算シート!$C$121,計算シート!$C$122,計算シート!$C$119))/12,(A37*12-3),$D$9*12,$E$11*10000)-ISPMT(IF(B39&gt;計算シート!$C$123,計算シート!$C$124,IF(B39&gt;計算シート!$C$121,計算シート!$C$122,計算シート!$C$119))/12,(A37*12-2),$D$9*12,$E$11*10000)-ISPMT(IF(B39&gt;計算シート!$C$123,計算シート!$C$124,IF(B39&gt;計算シート!$C$121,計算シート!$C$122,計算シート!$C$119))/12,(A37*12-1),$D$9*12,$E$11*10000),0))</f>
        <v/>
      </c>
      <c r="D37" s="33" t="str">
        <f t="shared" si="1"/>
        <v/>
      </c>
      <c r="E37" s="34" t="str">
        <f t="shared" si="4"/>
        <v/>
      </c>
      <c r="F37" s="35" t="str">
        <f>IF($E$12="","",IF(B37="","",ROUNDUP(-ISPMT(IF(B39&gt;計算シート!$C$123,計算シート!$C$124,IF(B39&gt;計算シート!$C$121,計算シート!$C$122,計算シート!$C$119))/2,(A37*2-2),$D$9*2,$E$12*10000)-ISPMT(IF(B39&gt;計算シート!$C$123,計算シート!$C$124,IF(B39&gt;計算シート!$C$121,計算シート!$C$122,計算シート!$C$119))/2,(A37*2-1),$D$9*2,$E$12*10000),0)))</f>
        <v/>
      </c>
      <c r="G37" s="33" t="str">
        <f t="shared" si="2"/>
        <v/>
      </c>
      <c r="H37" s="36" t="str">
        <f t="shared" si="5"/>
        <v/>
      </c>
      <c r="I37" s="37" t="str">
        <f t="shared" si="6"/>
        <v/>
      </c>
      <c r="J37" s="68"/>
      <c r="K37" s="68"/>
      <c r="L37" s="68"/>
      <c r="M37" s="68"/>
      <c r="N37" s="68"/>
      <c r="O37" s="68"/>
      <c r="P37" s="68"/>
    </row>
    <row r="38" spans="1:16" ht="17.25" customHeight="1">
      <c r="A38" s="31" t="str">
        <f t="shared" si="3"/>
        <v/>
      </c>
      <c r="B38" t="str">
        <f t="shared" si="0"/>
        <v/>
      </c>
      <c r="C38" s="39" t="str">
        <f>IF(B38="","",ROUNDUP(-ISPMT(IF(B40&gt;計算シート!$C$123,計算シート!$C$124,IF(B40&gt;計算シート!$C$121,計算シート!$C$122,計算シート!$C$119))/12,(A38*12-12),$D$9*12,$E$11*10000)-ISPMT(IF(B40&gt;計算シート!$C$123,計算シート!$C$124,IF(B40&gt;計算シート!$C$121,計算シート!$C$122,計算シート!$C$119))/12,(A38*12-11),$D$9*12,$E$11*10000)-ISPMT(IF(B40&gt;計算シート!$C$123,計算シート!$C$124,IF(B40&gt;計算シート!$C$121,計算シート!$C$122,計算シート!$C$119))/12,(A38*12-10),$D$9*12,$E$11*10000)-ISPMT(IF(B40&gt;計算シート!$C$123,計算シート!$C$124,IF(B40&gt;計算シート!$C$121,計算シート!$C$122,計算シート!$C$119))/12,(A38*12-9),$D$9*12,$E$11*10000)-ISPMT(IF(B40&gt;計算シート!$C$123,計算シート!$C$124,IF(B40&gt;計算シート!$C$121,計算シート!$C$122,計算シート!$C$119))/12,(A38*12-8),$D$9*12,$E$11*10000)-ISPMT(IF(B40&gt;計算シート!$C$123,計算シート!$C$124,IF(B40&gt;計算シート!$C$121,計算シート!$C$122,計算シート!$C$119))/12,(A38*12-7),$D$9*12,$E$11*10000)-ISPMT(IF(B40&gt;計算シート!$C$123,計算シート!$C$124,IF(B40&gt;計算シート!$C$121,計算シート!$C$122,計算シート!$C$119))/12,(A38*12-6),$D$9*12,$E$11*10000)-ISPMT(IF(B40&gt;計算シート!$C$123,計算シート!$C$124,IF(B40&gt;計算シート!$C$121,計算シート!$C$122,計算シート!$C$119))/12,(A38*12-5),$D$9*12,$E$11*10000)-ISPMT(IF(B40&gt;計算シート!$C$123,計算シート!$C$124,IF(B40&gt;計算シート!$C$121,計算シート!$C$122,計算シート!$C$119))/12,(A38*12-4),$D$9*12,$E$11*10000)-ISPMT(IF(B40&gt;計算シート!$C$123,計算シート!$C$124,IF(B40&gt;計算シート!$C$121,計算シート!$C$122,計算シート!$C$119))/12,(A38*12-3),$D$9*12,$E$11*10000)-ISPMT(IF(B40&gt;計算シート!$C$123,計算シート!$C$124,IF(B40&gt;計算シート!$C$121,計算シート!$C$122,計算シート!$C$119))/12,(A38*12-2),$D$9*12,$E$11*10000)-ISPMT(IF(B40&gt;計算シート!$C$123,計算シート!$C$124,IF(B40&gt;計算シート!$C$121,計算シート!$C$122,計算シート!$C$119))/12,(A38*12-1),$D$9*12,$E$11*10000),0))</f>
        <v/>
      </c>
      <c r="D38" s="40" t="str">
        <f t="shared" si="1"/>
        <v/>
      </c>
      <c r="E38" s="41" t="str">
        <f t="shared" si="4"/>
        <v/>
      </c>
      <c r="F38" s="291" t="str">
        <f>IF($E$12="","",IF(B38="","",ROUNDUP(-ISPMT(IF(B40&gt;計算シート!$C$123,計算シート!$C$124,IF(B40&gt;計算シート!$C$121,計算シート!$C$122,計算シート!$C$119))/2,(A38*2-2),$D$9*2,$E$12*10000)-ISPMT(IF(B40&gt;計算シート!$C$123,計算シート!$C$124,IF(B40&gt;計算シート!$C$121,計算シート!$C$122,計算シート!$C$119))/2,(A38*2-1),$D$9*2,$E$12*10000),0)))</f>
        <v/>
      </c>
      <c r="G38" s="40" t="str">
        <f t="shared" si="2"/>
        <v/>
      </c>
      <c r="H38" s="42" t="str">
        <f t="shared" si="5"/>
        <v/>
      </c>
      <c r="I38" s="603" t="str">
        <f t="shared" si="6"/>
        <v/>
      </c>
      <c r="J38" s="68"/>
      <c r="K38" s="68"/>
      <c r="L38" s="68"/>
      <c r="M38" s="68"/>
      <c r="N38" s="68"/>
      <c r="O38" s="68"/>
      <c r="P38" s="68"/>
    </row>
    <row r="39" spans="1:16" ht="17.25" customHeight="1">
      <c r="A39" s="31" t="str">
        <f t="shared" si="3"/>
        <v/>
      </c>
      <c r="B39" t="str">
        <f t="shared" si="0"/>
        <v/>
      </c>
      <c r="C39" s="236" t="str">
        <f>IF(B39="","",ROUNDUP(-ISPMT(IF(B41&gt;計算シート!$C$123,計算シート!$C$124,IF(B41&gt;計算シート!$C$121,計算シート!$C$122,計算シート!$C$119))/12,(A39*12-12),$D$9*12,$E$11*10000)-ISPMT(IF(B41&gt;計算シート!$C$123,計算シート!$C$124,IF(B41&gt;計算シート!$C$121,計算シート!$C$122,計算シート!$C$119))/12,(A39*12-11),$D$9*12,$E$11*10000)-ISPMT(IF(B41&gt;計算シート!$C$123,計算シート!$C$124,IF(B41&gt;計算シート!$C$121,計算シート!$C$122,計算シート!$C$119))/12,(A39*12-10),$D$9*12,$E$11*10000)-ISPMT(IF(B41&gt;計算シート!$C$123,計算シート!$C$124,IF(B41&gt;計算シート!$C$121,計算シート!$C$122,計算シート!$C$119))/12,(A39*12-9),$D$9*12,$E$11*10000)-ISPMT(IF(B41&gt;計算シート!$C$123,計算シート!$C$124,IF(B41&gt;計算シート!$C$121,計算シート!$C$122,計算シート!$C$119))/12,(A39*12-8),$D$9*12,$E$11*10000)-ISPMT(IF(B41&gt;計算シート!$C$123,計算シート!$C$124,IF(B41&gt;計算シート!$C$121,計算シート!$C$122,計算シート!$C$119))/12,(A39*12-7),$D$9*12,$E$11*10000)-ISPMT(IF(B41&gt;計算シート!$C$123,計算シート!$C$124,IF(B41&gt;計算シート!$C$121,計算シート!$C$122,計算シート!$C$119))/12,(A39*12-6),$D$9*12,$E$11*10000)-ISPMT(IF(B41&gt;計算シート!$C$123,計算シート!$C$124,IF(B41&gt;計算シート!$C$121,計算シート!$C$122,計算シート!$C$119))/12,(A39*12-5),$D$9*12,$E$11*10000)-ISPMT(IF(B41&gt;計算シート!$C$123,計算シート!$C$124,IF(B41&gt;計算シート!$C$121,計算シート!$C$122,計算シート!$C$119))/12,(A39*12-4),$D$9*12,$E$11*10000)-ISPMT(IF(B41&gt;計算シート!$C$123,計算シート!$C$124,IF(B41&gt;計算シート!$C$121,計算シート!$C$122,計算シート!$C$119))/12,(A39*12-3),$D$9*12,$E$11*10000)-ISPMT(IF(B41&gt;計算シート!$C$123,計算シート!$C$124,IF(B41&gt;計算シート!$C$121,計算シート!$C$122,計算シート!$C$119))/12,(A39*12-2),$D$9*12,$E$11*10000)-ISPMT(IF(B41&gt;計算シート!$C$123,計算シート!$C$124,IF(B41&gt;計算シート!$C$121,計算シート!$C$122,計算シート!$C$119))/12,(A39*12-1),$D$9*12,$E$11*10000),0))</f>
        <v/>
      </c>
      <c r="D39" s="45" t="str">
        <f t="shared" si="1"/>
        <v/>
      </c>
      <c r="E39" s="46" t="str">
        <f t="shared" si="4"/>
        <v/>
      </c>
      <c r="F39" s="44" t="str">
        <f>IF($E$12="","",IF(B39="","",ROUNDUP(-ISPMT(IF(B41&gt;計算シート!$C$123,計算シート!$C$124,IF(B41&gt;計算シート!$C$121,計算シート!$C$122,計算シート!$C$119))/2,(A39*2-2),$D$9*2,$E$12*10000)-ISPMT(IF(B41&gt;計算シート!$C$123,計算シート!$C$124,IF(B41&gt;計算シート!$C$121,計算シート!$C$122,計算シート!$C$119))/2,(A39*2-1),$D$9*2,$E$12*10000),0)))</f>
        <v/>
      </c>
      <c r="G39" s="45" t="str">
        <f t="shared" si="2"/>
        <v/>
      </c>
      <c r="H39" s="36" t="str">
        <f t="shared" si="5"/>
        <v/>
      </c>
      <c r="I39" s="604" t="str">
        <f t="shared" si="6"/>
        <v/>
      </c>
      <c r="J39" s="68"/>
      <c r="K39" s="68"/>
      <c r="L39" s="68"/>
      <c r="M39" s="68"/>
      <c r="N39" s="68"/>
      <c r="O39" s="68"/>
      <c r="P39" s="68"/>
    </row>
    <row r="40" spans="1:16" ht="17.25" customHeight="1">
      <c r="A40" s="31" t="str">
        <f t="shared" si="3"/>
        <v/>
      </c>
      <c r="B40" t="str">
        <f t="shared" si="0"/>
        <v/>
      </c>
      <c r="C40" s="32" t="str">
        <f>IF(B40="","",ROUNDUP(-ISPMT(IF(B42&gt;計算シート!$C$123,計算シート!$C$124,IF(B42&gt;計算シート!$C$121,計算シート!$C$122,計算シート!$C$119))/12,(A40*12-12),$D$9*12,$E$11*10000)-ISPMT(IF(B42&gt;計算シート!$C$123,計算シート!$C$124,IF(B42&gt;計算シート!$C$121,計算シート!$C$122,計算シート!$C$119))/12,(A40*12-11),$D$9*12,$E$11*10000)-ISPMT(IF(B42&gt;計算シート!$C$123,計算シート!$C$124,IF(B42&gt;計算シート!$C$121,計算シート!$C$122,計算シート!$C$119))/12,(A40*12-10),$D$9*12,$E$11*10000)-ISPMT(IF(B42&gt;計算シート!$C$123,計算シート!$C$124,IF(B42&gt;計算シート!$C$121,計算シート!$C$122,計算シート!$C$119))/12,(A40*12-9),$D$9*12,$E$11*10000)-ISPMT(IF(B42&gt;計算シート!$C$123,計算シート!$C$124,IF(B42&gt;計算シート!$C$121,計算シート!$C$122,計算シート!$C$119))/12,(A40*12-8),$D$9*12,$E$11*10000)-ISPMT(IF(B42&gt;計算シート!$C$123,計算シート!$C$124,IF(B42&gt;計算シート!$C$121,計算シート!$C$122,計算シート!$C$119))/12,(A40*12-7),$D$9*12,$E$11*10000)-ISPMT(IF(B42&gt;計算シート!$C$123,計算シート!$C$124,IF(B42&gt;計算シート!$C$121,計算シート!$C$122,計算シート!$C$119))/12,(A40*12-6),$D$9*12,$E$11*10000)-ISPMT(IF(B42&gt;計算シート!$C$123,計算シート!$C$124,IF(B42&gt;計算シート!$C$121,計算シート!$C$122,計算シート!$C$119))/12,(A40*12-5),$D$9*12,$E$11*10000)-ISPMT(IF(B42&gt;計算シート!$C$123,計算シート!$C$124,IF(B42&gt;計算シート!$C$121,計算シート!$C$122,計算シート!$C$119))/12,(A40*12-4),$D$9*12,$E$11*10000)-ISPMT(IF(B42&gt;計算シート!$C$123,計算シート!$C$124,IF(B42&gt;計算シート!$C$121,計算シート!$C$122,計算シート!$C$119))/12,(A40*12-3),$D$9*12,$E$11*10000)-ISPMT(IF(B42&gt;計算シート!$C$123,計算シート!$C$124,IF(B42&gt;計算シート!$C$121,計算シート!$C$122,計算シート!$C$119))/12,(A40*12-2),$D$9*12,$E$11*10000)-ISPMT(IF(B42&gt;計算シート!$C$123,計算シート!$C$124,IF(B42&gt;計算シート!$C$121,計算シート!$C$122,計算シート!$C$119))/12,(A40*12-1),$D$9*12,$E$11*10000),0))</f>
        <v/>
      </c>
      <c r="D40" s="33" t="str">
        <f t="shared" si="1"/>
        <v/>
      </c>
      <c r="E40" s="34" t="str">
        <f t="shared" si="4"/>
        <v/>
      </c>
      <c r="F40" s="35" t="str">
        <f>IF($E$12="","",IF(B40="","",ROUNDUP(-ISPMT(IF(B42&gt;計算シート!$C$123,計算シート!$C$124,IF(B42&gt;計算シート!$C$121,計算シート!$C$122,計算シート!$C$119))/2,(A40*2-2),$D$9*2,$E$12*10000)-ISPMT(IF(B42&gt;計算シート!$C$123,計算シート!$C$124,IF(B42&gt;計算シート!$C$121,計算シート!$C$122,計算シート!$C$119))/2,(A40*2-1),$D$9*2,$E$12*10000),0)))</f>
        <v/>
      </c>
      <c r="G40" s="33" t="str">
        <f t="shared" si="2"/>
        <v/>
      </c>
      <c r="H40" s="36" t="str">
        <f t="shared" si="5"/>
        <v/>
      </c>
      <c r="I40" s="37" t="str">
        <f t="shared" si="6"/>
        <v/>
      </c>
      <c r="J40" s="68"/>
      <c r="K40" s="68"/>
      <c r="L40" s="68"/>
      <c r="M40" s="68"/>
      <c r="N40" s="68"/>
      <c r="O40" s="68"/>
      <c r="P40" s="68"/>
    </row>
    <row r="41" spans="1:16" ht="17.25" customHeight="1">
      <c r="A41" s="31" t="str">
        <f t="shared" si="3"/>
        <v/>
      </c>
      <c r="B41" t="str">
        <f t="shared" si="0"/>
        <v/>
      </c>
      <c r="C41" s="32" t="str">
        <f>IF(B41="","",ROUNDUP(-ISPMT(IF(B43&gt;計算シート!$C$123,計算シート!$C$124,IF(B43&gt;計算シート!$C$121,計算シート!$C$122,計算シート!$C$119))/12,(A41*12-12),$D$9*12,$E$11*10000)-ISPMT(IF(B43&gt;計算シート!$C$123,計算シート!$C$124,IF(B43&gt;計算シート!$C$121,計算シート!$C$122,計算シート!$C$119))/12,(A41*12-11),$D$9*12,$E$11*10000)-ISPMT(IF(B43&gt;計算シート!$C$123,計算シート!$C$124,IF(B43&gt;計算シート!$C$121,計算シート!$C$122,計算シート!$C$119))/12,(A41*12-10),$D$9*12,$E$11*10000)-ISPMT(IF(B43&gt;計算シート!$C$123,計算シート!$C$124,IF(B43&gt;計算シート!$C$121,計算シート!$C$122,計算シート!$C$119))/12,(A41*12-9),$D$9*12,$E$11*10000)-ISPMT(IF(B43&gt;計算シート!$C$123,計算シート!$C$124,IF(B43&gt;計算シート!$C$121,計算シート!$C$122,計算シート!$C$119))/12,(A41*12-8),$D$9*12,$E$11*10000)-ISPMT(IF(B43&gt;計算シート!$C$123,計算シート!$C$124,IF(B43&gt;計算シート!$C$121,計算シート!$C$122,計算シート!$C$119))/12,(A41*12-7),$D$9*12,$E$11*10000)-ISPMT(IF(B43&gt;計算シート!$C$123,計算シート!$C$124,IF(B43&gt;計算シート!$C$121,計算シート!$C$122,計算シート!$C$119))/12,(A41*12-6),$D$9*12,$E$11*10000)-ISPMT(IF(B43&gt;計算シート!$C$123,計算シート!$C$124,IF(B43&gt;計算シート!$C$121,計算シート!$C$122,計算シート!$C$119))/12,(A41*12-5),$D$9*12,$E$11*10000)-ISPMT(IF(B43&gt;計算シート!$C$123,計算シート!$C$124,IF(B43&gt;計算シート!$C$121,計算シート!$C$122,計算シート!$C$119))/12,(A41*12-4),$D$9*12,$E$11*10000)-ISPMT(IF(B43&gt;計算シート!$C$123,計算シート!$C$124,IF(B43&gt;計算シート!$C$121,計算シート!$C$122,計算シート!$C$119))/12,(A41*12-3),$D$9*12,$E$11*10000)-ISPMT(IF(B43&gt;計算シート!$C$123,計算シート!$C$124,IF(B43&gt;計算シート!$C$121,計算シート!$C$122,計算シート!$C$119))/12,(A41*12-2),$D$9*12,$E$11*10000)-ISPMT(IF(B43&gt;計算シート!$C$123,計算シート!$C$124,IF(B43&gt;計算シート!$C$121,計算シート!$C$122,計算シート!$C$119))/12,(A41*12-1),$D$9*12,$E$11*10000),0))</f>
        <v/>
      </c>
      <c r="D41" s="33" t="str">
        <f t="shared" si="1"/>
        <v/>
      </c>
      <c r="E41" s="34" t="str">
        <f t="shared" si="4"/>
        <v/>
      </c>
      <c r="F41" s="35" t="str">
        <f>IF($E$12="","",IF(B41="","",ROUNDUP(-ISPMT(IF(B43&gt;計算シート!$C$123,計算シート!$C$124,IF(B43&gt;計算シート!$C$121,計算シート!$C$122,計算シート!$C$119))/2,(A41*2-2),$D$9*2,$E$12*10000)-ISPMT(IF(B43&gt;計算シート!$C$123,計算シート!$C$124,IF(B43&gt;計算シート!$C$121,計算シート!$C$122,計算シート!$C$119))/2,(A41*2-1),$D$9*2,$E$12*10000),0)))</f>
        <v/>
      </c>
      <c r="G41" s="33" t="str">
        <f t="shared" si="2"/>
        <v/>
      </c>
      <c r="H41" s="36" t="str">
        <f t="shared" si="5"/>
        <v/>
      </c>
      <c r="I41" s="37" t="str">
        <f t="shared" si="6"/>
        <v/>
      </c>
      <c r="J41" s="68"/>
      <c r="K41" s="68"/>
      <c r="L41" s="68"/>
      <c r="M41" s="68"/>
      <c r="N41" s="68"/>
      <c r="O41" s="68"/>
      <c r="P41" s="68"/>
    </row>
    <row r="42" spans="1:16" ht="17.25" customHeight="1">
      <c r="A42" s="31" t="str">
        <f t="shared" si="3"/>
        <v/>
      </c>
      <c r="B42" t="str">
        <f t="shared" si="0"/>
        <v/>
      </c>
      <c r="C42" s="32" t="str">
        <f>IF(B42="","",ROUNDUP(-ISPMT(IF(B44&gt;計算シート!$C$123,計算シート!$C$124,IF(B44&gt;計算シート!$C$121,計算シート!$C$122,計算シート!$C$119))/12,(A42*12-12),$D$9*12,$E$11*10000)-ISPMT(IF(B44&gt;計算シート!$C$123,計算シート!$C$124,IF(B44&gt;計算シート!$C$121,計算シート!$C$122,計算シート!$C$119))/12,(A42*12-11),$D$9*12,$E$11*10000)-ISPMT(IF(B44&gt;計算シート!$C$123,計算シート!$C$124,IF(B44&gt;計算シート!$C$121,計算シート!$C$122,計算シート!$C$119))/12,(A42*12-10),$D$9*12,$E$11*10000)-ISPMT(IF(B44&gt;計算シート!$C$123,計算シート!$C$124,IF(B44&gt;計算シート!$C$121,計算シート!$C$122,計算シート!$C$119))/12,(A42*12-9),$D$9*12,$E$11*10000)-ISPMT(IF(B44&gt;計算シート!$C$123,計算シート!$C$124,IF(B44&gt;計算シート!$C$121,計算シート!$C$122,計算シート!$C$119))/12,(A42*12-8),$D$9*12,$E$11*10000)-ISPMT(IF(B44&gt;計算シート!$C$123,計算シート!$C$124,IF(B44&gt;計算シート!$C$121,計算シート!$C$122,計算シート!$C$119))/12,(A42*12-7),$D$9*12,$E$11*10000)-ISPMT(IF(B44&gt;計算シート!$C$123,計算シート!$C$124,IF(B44&gt;計算シート!$C$121,計算シート!$C$122,計算シート!$C$119))/12,(A42*12-6),$D$9*12,$E$11*10000)-ISPMT(IF(B44&gt;計算シート!$C$123,計算シート!$C$124,IF(B44&gt;計算シート!$C$121,計算シート!$C$122,計算シート!$C$119))/12,(A42*12-5),$D$9*12,$E$11*10000)-ISPMT(IF(B44&gt;計算シート!$C$123,計算シート!$C$124,IF(B44&gt;計算シート!$C$121,計算シート!$C$122,計算シート!$C$119))/12,(A42*12-4),$D$9*12,$E$11*10000)-ISPMT(IF(B44&gt;計算シート!$C$123,計算シート!$C$124,IF(B44&gt;計算シート!$C$121,計算シート!$C$122,計算シート!$C$119))/12,(A42*12-3),$D$9*12,$E$11*10000)-ISPMT(IF(B44&gt;計算シート!$C$123,計算シート!$C$124,IF(B44&gt;計算シート!$C$121,計算シート!$C$122,計算シート!$C$119))/12,(A42*12-2),$D$9*12,$E$11*10000)-ISPMT(IF(B44&gt;計算シート!$C$123,計算シート!$C$124,IF(B44&gt;計算シート!$C$121,計算シート!$C$122,計算シート!$C$119))/12,(A42*12-1),$D$9*12,$E$11*10000),0))</f>
        <v/>
      </c>
      <c r="D42" s="33" t="str">
        <f t="shared" si="1"/>
        <v/>
      </c>
      <c r="E42" s="34" t="str">
        <f t="shared" si="4"/>
        <v/>
      </c>
      <c r="F42" s="35" t="str">
        <f>IF($E$12="","",IF(B42="","",ROUNDUP(-ISPMT(IF(B44&gt;計算シート!$C$123,計算シート!$C$124,IF(B44&gt;計算シート!$C$121,計算シート!$C$122,計算シート!$C$119))/2,(A42*2-2),$D$9*2,$E$12*10000)-ISPMT(IF(B44&gt;計算シート!$C$123,計算シート!$C$124,IF(B44&gt;計算シート!$C$121,計算シート!$C$122,計算シート!$C$119))/2,(A42*2-1),$D$9*2,$E$12*10000),0)))</f>
        <v/>
      </c>
      <c r="G42" s="33" t="str">
        <f t="shared" si="2"/>
        <v/>
      </c>
      <c r="H42" s="36" t="str">
        <f t="shared" si="5"/>
        <v/>
      </c>
      <c r="I42" s="37" t="str">
        <f t="shared" si="6"/>
        <v/>
      </c>
      <c r="J42" s="68"/>
      <c r="K42" s="68"/>
      <c r="L42" s="68"/>
      <c r="M42" s="68"/>
      <c r="N42" s="68"/>
      <c r="O42" s="68"/>
      <c r="P42" s="68"/>
    </row>
    <row r="43" spans="1:16" ht="17.25" customHeight="1">
      <c r="A43" s="31" t="str">
        <f t="shared" si="3"/>
        <v/>
      </c>
      <c r="B43" t="str">
        <f t="shared" si="0"/>
        <v/>
      </c>
      <c r="C43" s="39" t="str">
        <f>IF(B43="","",ROUNDUP(-ISPMT(IF(B45&gt;計算シート!$C$123,計算シート!$C$124,IF(B45&gt;計算シート!$C$121,計算シート!$C$122,計算シート!$C$119))/12,(A43*12-12),$D$9*12,$E$11*10000)-ISPMT(IF(B45&gt;計算シート!$C$123,計算シート!$C$124,IF(B45&gt;計算シート!$C$121,計算シート!$C$122,計算シート!$C$119))/12,(A43*12-11),$D$9*12,$E$11*10000)-ISPMT(IF(B45&gt;計算シート!$C$123,計算シート!$C$124,IF(B45&gt;計算シート!$C$121,計算シート!$C$122,計算シート!$C$119))/12,(A43*12-10),$D$9*12,$E$11*10000)-ISPMT(IF(B45&gt;計算シート!$C$123,計算シート!$C$124,IF(B45&gt;計算シート!$C$121,計算シート!$C$122,計算シート!$C$119))/12,(A43*12-9),$D$9*12,$E$11*10000)-ISPMT(IF(B45&gt;計算シート!$C$123,計算シート!$C$124,IF(B45&gt;計算シート!$C$121,計算シート!$C$122,計算シート!$C$119))/12,(A43*12-8),$D$9*12,$E$11*10000)-ISPMT(IF(B45&gt;計算シート!$C$123,計算シート!$C$124,IF(B45&gt;計算シート!$C$121,計算シート!$C$122,計算シート!$C$119))/12,(A43*12-7),$D$9*12,$E$11*10000)-ISPMT(IF(B45&gt;計算シート!$C$123,計算シート!$C$124,IF(B45&gt;計算シート!$C$121,計算シート!$C$122,計算シート!$C$119))/12,(A43*12-6),$D$9*12,$E$11*10000)-ISPMT(IF(B45&gt;計算シート!$C$123,計算シート!$C$124,IF(B45&gt;計算シート!$C$121,計算シート!$C$122,計算シート!$C$119))/12,(A43*12-5),$D$9*12,$E$11*10000)-ISPMT(IF(B45&gt;計算シート!$C$123,計算シート!$C$124,IF(B45&gt;計算シート!$C$121,計算シート!$C$122,計算シート!$C$119))/12,(A43*12-4),$D$9*12,$E$11*10000)-ISPMT(IF(B45&gt;計算シート!$C$123,計算シート!$C$124,IF(B45&gt;計算シート!$C$121,計算シート!$C$122,計算シート!$C$119))/12,(A43*12-3),$D$9*12,$E$11*10000)-ISPMT(IF(B45&gt;計算シート!$C$123,計算シート!$C$124,IF(B45&gt;計算シート!$C$121,計算シート!$C$122,計算シート!$C$119))/12,(A43*12-2),$D$9*12,$E$11*10000)-ISPMT(IF(B45&gt;計算シート!$C$123,計算シート!$C$124,IF(B45&gt;計算シート!$C$121,計算シート!$C$122,計算シート!$C$119))/12,(A43*12-1),$D$9*12,$E$11*10000),0))</f>
        <v/>
      </c>
      <c r="D43" s="40" t="str">
        <f t="shared" si="1"/>
        <v/>
      </c>
      <c r="E43" s="41" t="str">
        <f t="shared" si="4"/>
        <v/>
      </c>
      <c r="F43" s="291" t="str">
        <f>IF($E$12="","",IF(B43="","",ROUNDUP(-ISPMT(IF(B45&gt;計算シート!$C$123,計算シート!$C$124,IF(B45&gt;計算シート!$C$121,計算シート!$C$122,計算シート!$C$119))/2,(A43*2-2),$D$9*2,$E$12*10000)-ISPMT(IF(B45&gt;計算シート!$C$123,計算シート!$C$124,IF(B45&gt;計算シート!$C$121,計算シート!$C$122,計算シート!$C$119))/2,(A43*2-1),$D$9*2,$E$12*10000),0)))</f>
        <v/>
      </c>
      <c r="G43" s="40" t="str">
        <f t="shared" si="2"/>
        <v/>
      </c>
      <c r="H43" s="42" t="str">
        <f t="shared" si="5"/>
        <v/>
      </c>
      <c r="I43" s="603" t="str">
        <f t="shared" si="6"/>
        <v/>
      </c>
      <c r="J43" s="68"/>
      <c r="K43" s="68"/>
      <c r="L43" s="68"/>
      <c r="M43" s="68"/>
      <c r="N43" s="68"/>
      <c r="O43" s="68"/>
      <c r="P43" s="68"/>
    </row>
    <row r="44" spans="1:16" ht="17.25" customHeight="1">
      <c r="A44" s="31" t="str">
        <f t="shared" si="3"/>
        <v/>
      </c>
      <c r="B44" t="str">
        <f t="shared" si="0"/>
        <v/>
      </c>
      <c r="C44" s="236" t="str">
        <f>IF(B44="","",ROUNDUP(-ISPMT(IF(B46&gt;計算シート!$C$123,計算シート!$C$124,IF(B46&gt;計算シート!$C$121,計算シート!$C$122,計算シート!$C$119))/12,(A44*12-12),$D$9*12,$E$11*10000)-ISPMT(IF(B46&gt;計算シート!$C$123,計算シート!$C$124,IF(B46&gt;計算シート!$C$121,計算シート!$C$122,計算シート!$C$119))/12,(A44*12-11),$D$9*12,$E$11*10000)-ISPMT(IF(B46&gt;計算シート!$C$123,計算シート!$C$124,IF(B46&gt;計算シート!$C$121,計算シート!$C$122,計算シート!$C$119))/12,(A44*12-10),$D$9*12,$E$11*10000)-ISPMT(IF(B46&gt;計算シート!$C$123,計算シート!$C$124,IF(B46&gt;計算シート!$C$121,計算シート!$C$122,計算シート!$C$119))/12,(A44*12-9),$D$9*12,$E$11*10000)-ISPMT(IF(B46&gt;計算シート!$C$123,計算シート!$C$124,IF(B46&gt;計算シート!$C$121,計算シート!$C$122,計算シート!$C$119))/12,(A44*12-8),$D$9*12,$E$11*10000)-ISPMT(IF(B46&gt;計算シート!$C$123,計算シート!$C$124,IF(B46&gt;計算シート!$C$121,計算シート!$C$122,計算シート!$C$119))/12,(A44*12-7),$D$9*12,$E$11*10000)-ISPMT(IF(B46&gt;計算シート!$C$123,計算シート!$C$124,IF(B46&gt;計算シート!$C$121,計算シート!$C$122,計算シート!$C$119))/12,(A44*12-6),$D$9*12,$E$11*10000)-ISPMT(IF(B46&gt;計算シート!$C$123,計算シート!$C$124,IF(B46&gt;計算シート!$C$121,計算シート!$C$122,計算シート!$C$119))/12,(A44*12-5),$D$9*12,$E$11*10000)-ISPMT(IF(B46&gt;計算シート!$C$123,計算シート!$C$124,IF(B46&gt;計算シート!$C$121,計算シート!$C$122,計算シート!$C$119))/12,(A44*12-4),$D$9*12,$E$11*10000)-ISPMT(IF(B46&gt;計算シート!$C$123,計算シート!$C$124,IF(B46&gt;計算シート!$C$121,計算シート!$C$122,計算シート!$C$119))/12,(A44*12-3),$D$9*12,$E$11*10000)-ISPMT(IF(B46&gt;計算シート!$C$123,計算シート!$C$124,IF(B46&gt;計算シート!$C$121,計算シート!$C$122,計算シート!$C$119))/12,(A44*12-2),$D$9*12,$E$11*10000)-ISPMT(IF(B46&gt;計算シート!$C$123,計算シート!$C$124,IF(B46&gt;計算シート!$C$121,計算シート!$C$122,計算シート!$C$119))/12,(A44*12-1),$D$9*12,$E$11*10000),0))</f>
        <v/>
      </c>
      <c r="D44" s="60" t="str">
        <f t="shared" si="1"/>
        <v/>
      </c>
      <c r="E44" s="61" t="str">
        <f t="shared" si="4"/>
        <v/>
      </c>
      <c r="F44" s="44" t="str">
        <f>IF($E$12="","",IF(B44="","",ROUNDUP(-ISPMT(IF(B46&gt;計算シート!$C$123,計算シート!$C$124,IF(B46&gt;計算シート!$C$121,計算シート!$C$122,計算シート!$C$119))/2,(A44*2-2),$D$9*2,$E$12*10000)-ISPMT(IF(B46&gt;計算シート!$C$123,計算シート!$C$124,IF(B46&gt;計算シート!$C$121,計算シート!$C$122,計算シート!$C$119))/2,(A44*2-1),$D$9*2,$E$12*10000),0)))</f>
        <v/>
      </c>
      <c r="G44" s="60" t="str">
        <f t="shared" si="2"/>
        <v/>
      </c>
      <c r="H44" s="55" t="str">
        <f t="shared" si="5"/>
        <v/>
      </c>
      <c r="I44" s="605" t="str">
        <f t="shared" si="6"/>
        <v/>
      </c>
      <c r="J44" s="68"/>
      <c r="K44" s="68"/>
      <c r="L44" s="68"/>
      <c r="M44" s="68"/>
      <c r="N44" s="68"/>
      <c r="O44" s="68"/>
      <c r="P44" s="68"/>
    </row>
    <row r="45" spans="1:16" ht="17.25" customHeight="1">
      <c r="A45" s="31" t="str">
        <f t="shared" si="3"/>
        <v/>
      </c>
      <c r="B45" t="str">
        <f t="shared" si="0"/>
        <v/>
      </c>
      <c r="C45" s="32" t="str">
        <f>IF(B45="","",ROUNDUP(-ISPMT(IF(B47&gt;計算シート!$C$123,計算シート!$C$124,IF(B47&gt;計算シート!$C$121,計算シート!$C$122,計算シート!$C$119))/12,(A45*12-12),$D$9*12,$E$11*10000)-ISPMT(IF(B47&gt;計算シート!$C$123,計算シート!$C$124,IF(B47&gt;計算シート!$C$121,計算シート!$C$122,計算シート!$C$119))/12,(A45*12-11),$D$9*12,$E$11*10000)-ISPMT(IF(B47&gt;計算シート!$C$123,計算シート!$C$124,IF(B47&gt;計算シート!$C$121,計算シート!$C$122,計算シート!$C$119))/12,(A45*12-10),$D$9*12,$E$11*10000)-ISPMT(IF(B47&gt;計算シート!$C$123,計算シート!$C$124,IF(B47&gt;計算シート!$C$121,計算シート!$C$122,計算シート!$C$119))/12,(A45*12-9),$D$9*12,$E$11*10000)-ISPMT(IF(B47&gt;計算シート!$C$123,計算シート!$C$124,IF(B47&gt;計算シート!$C$121,計算シート!$C$122,計算シート!$C$119))/12,(A45*12-8),$D$9*12,$E$11*10000)-ISPMT(IF(B47&gt;計算シート!$C$123,計算シート!$C$124,IF(B47&gt;計算シート!$C$121,計算シート!$C$122,計算シート!$C$119))/12,(A45*12-7),$D$9*12,$E$11*10000)-ISPMT(IF(B47&gt;計算シート!$C$123,計算シート!$C$124,IF(B47&gt;計算シート!$C$121,計算シート!$C$122,計算シート!$C$119))/12,(A45*12-6),$D$9*12,$E$11*10000)-ISPMT(IF(B47&gt;計算シート!$C$123,計算シート!$C$124,IF(B47&gt;計算シート!$C$121,計算シート!$C$122,計算シート!$C$119))/12,(A45*12-5),$D$9*12,$E$11*10000)-ISPMT(IF(B47&gt;計算シート!$C$123,計算シート!$C$124,IF(B47&gt;計算シート!$C$121,計算シート!$C$122,計算シート!$C$119))/12,(A45*12-4),$D$9*12,$E$11*10000)-ISPMT(IF(B47&gt;計算シート!$C$123,計算シート!$C$124,IF(B47&gt;計算シート!$C$121,計算シート!$C$122,計算シート!$C$119))/12,(A45*12-3),$D$9*12,$E$11*10000)-ISPMT(IF(B47&gt;計算シート!$C$123,計算シート!$C$124,IF(B47&gt;計算シート!$C$121,計算シート!$C$122,計算シート!$C$119))/12,(A45*12-2),$D$9*12,$E$11*10000)-ISPMT(IF(B47&gt;計算シート!$C$123,計算シート!$C$124,IF(B47&gt;計算シート!$C$121,計算シート!$C$122,計算シート!$C$119))/12,(A45*12-1),$D$9*12,$E$11*10000),0))</f>
        <v/>
      </c>
      <c r="D45" s="53" t="str">
        <f t="shared" si="1"/>
        <v/>
      </c>
      <c r="E45" s="54" t="str">
        <f t="shared" si="4"/>
        <v/>
      </c>
      <c r="F45" s="35" t="str">
        <f>IF($E$12="","",IF(B45="","",ROUNDUP(-ISPMT(IF(B47&gt;計算シート!$C$123,計算シート!$C$124,IF(B47&gt;計算シート!$C$121,計算シート!$C$122,計算シート!$C$119))/2,(A45*2-2),$D$9*2,$E$12*10000)-ISPMT(IF(B47&gt;計算シート!$C$123,計算シート!$C$124,IF(B47&gt;計算シート!$C$121,計算シート!$C$122,計算シート!$C$119))/2,(A45*2-1),$D$9*2,$E$12*10000),0)))</f>
        <v/>
      </c>
      <c r="G45" s="53" t="str">
        <f t="shared" si="2"/>
        <v/>
      </c>
      <c r="H45" s="55" t="str">
        <f t="shared" si="5"/>
        <v/>
      </c>
      <c r="I45" s="56" t="str">
        <f t="shared" si="6"/>
        <v/>
      </c>
      <c r="J45" s="68"/>
      <c r="K45" s="68"/>
      <c r="L45" s="68"/>
      <c r="M45" s="68"/>
      <c r="N45" s="68"/>
      <c r="O45" s="68"/>
      <c r="P45" s="68"/>
    </row>
    <row r="46" spans="1:16" ht="17.25" customHeight="1">
      <c r="A46" s="31" t="str">
        <f t="shared" si="3"/>
        <v/>
      </c>
      <c r="B46" t="str">
        <f t="shared" si="0"/>
        <v/>
      </c>
      <c r="C46" s="32" t="str">
        <f>IF(B46="","",ROUNDUP(-ISPMT(IF(B48&gt;計算シート!$C$123,計算シート!$C$124,IF(B48&gt;計算シート!$C$121,計算シート!$C$122,計算シート!$C$119))/12,(A46*12-12),$D$9*12,$E$11*10000)-ISPMT(IF(B48&gt;計算シート!$C$123,計算シート!$C$124,IF(B48&gt;計算シート!$C$121,計算シート!$C$122,計算シート!$C$119))/12,(A46*12-11),$D$9*12,$E$11*10000)-ISPMT(IF(B48&gt;計算シート!$C$123,計算シート!$C$124,IF(B48&gt;計算シート!$C$121,計算シート!$C$122,計算シート!$C$119))/12,(A46*12-10),$D$9*12,$E$11*10000)-ISPMT(IF(B48&gt;計算シート!$C$123,計算シート!$C$124,IF(B48&gt;計算シート!$C$121,計算シート!$C$122,計算シート!$C$119))/12,(A46*12-9),$D$9*12,$E$11*10000)-ISPMT(IF(B48&gt;計算シート!$C$123,計算シート!$C$124,IF(B48&gt;計算シート!$C$121,計算シート!$C$122,計算シート!$C$119))/12,(A46*12-8),$D$9*12,$E$11*10000)-ISPMT(IF(B48&gt;計算シート!$C$123,計算シート!$C$124,IF(B48&gt;計算シート!$C$121,計算シート!$C$122,計算シート!$C$119))/12,(A46*12-7),$D$9*12,$E$11*10000)-ISPMT(IF(B48&gt;計算シート!$C$123,計算シート!$C$124,IF(B48&gt;計算シート!$C$121,計算シート!$C$122,計算シート!$C$119))/12,(A46*12-6),$D$9*12,$E$11*10000)-ISPMT(IF(B48&gt;計算シート!$C$123,計算シート!$C$124,IF(B48&gt;計算シート!$C$121,計算シート!$C$122,計算シート!$C$119))/12,(A46*12-5),$D$9*12,$E$11*10000)-ISPMT(IF(B48&gt;計算シート!$C$123,計算シート!$C$124,IF(B48&gt;計算シート!$C$121,計算シート!$C$122,計算シート!$C$119))/12,(A46*12-4),$D$9*12,$E$11*10000)-ISPMT(IF(B48&gt;計算シート!$C$123,計算シート!$C$124,IF(B48&gt;計算シート!$C$121,計算シート!$C$122,計算シート!$C$119))/12,(A46*12-3),$D$9*12,$E$11*10000)-ISPMT(IF(B48&gt;計算シート!$C$123,計算シート!$C$124,IF(B48&gt;計算シート!$C$121,計算シート!$C$122,計算シート!$C$119))/12,(A46*12-2),$D$9*12,$E$11*10000)-ISPMT(IF(B48&gt;計算シート!$C$123,計算シート!$C$124,IF(B48&gt;計算シート!$C$121,計算シート!$C$122,計算シート!$C$119))/12,(A46*12-1),$D$9*12,$E$11*10000),0))</f>
        <v/>
      </c>
      <c r="D46" s="53" t="str">
        <f t="shared" si="1"/>
        <v/>
      </c>
      <c r="E46" s="54" t="str">
        <f t="shared" si="4"/>
        <v/>
      </c>
      <c r="F46" s="35" t="str">
        <f>IF($E$12="","",IF(B46="","",ROUNDUP(-ISPMT(IF(B48&gt;計算シート!$C$123,計算シート!$C$124,IF(B48&gt;計算シート!$C$121,計算シート!$C$122,計算シート!$C$119))/2,(A46*2-2),$D$9*2,$E$12*10000)-ISPMT(IF(B48&gt;計算シート!$C$123,計算シート!$C$124,IF(B48&gt;計算シート!$C$121,計算シート!$C$122,計算シート!$C$119))/2,(A46*2-1),$D$9*2,$E$12*10000),0)))</f>
        <v/>
      </c>
      <c r="G46" s="53" t="str">
        <f t="shared" si="2"/>
        <v/>
      </c>
      <c r="H46" s="55" t="str">
        <f t="shared" si="5"/>
        <v/>
      </c>
      <c r="I46" s="56" t="str">
        <f t="shared" si="6"/>
        <v/>
      </c>
      <c r="J46" s="68"/>
      <c r="K46" s="68"/>
      <c r="L46" s="68"/>
      <c r="M46" s="68"/>
      <c r="N46" s="68"/>
      <c r="O46" s="68"/>
      <c r="P46" s="68"/>
    </row>
    <row r="47" spans="1:16" ht="17.25" customHeight="1">
      <c r="A47" s="31" t="str">
        <f t="shared" si="3"/>
        <v/>
      </c>
      <c r="B47" t="str">
        <f t="shared" si="0"/>
        <v/>
      </c>
      <c r="C47" s="32" t="str">
        <f>IF(B47="","",ROUNDUP(-ISPMT(IF(B49&gt;計算シート!$C$123,計算シート!$C$124,IF(B49&gt;計算シート!$C$121,計算シート!$C$122,計算シート!$C$119))/12,(A47*12-12),$D$9*12,$E$11*10000)-ISPMT(IF(B49&gt;計算シート!$C$123,計算シート!$C$124,IF(B49&gt;計算シート!$C$121,計算シート!$C$122,計算シート!$C$119))/12,(A47*12-11),$D$9*12,$E$11*10000)-ISPMT(IF(B49&gt;計算シート!$C$123,計算シート!$C$124,IF(B49&gt;計算シート!$C$121,計算シート!$C$122,計算シート!$C$119))/12,(A47*12-10),$D$9*12,$E$11*10000)-ISPMT(IF(B49&gt;計算シート!$C$123,計算シート!$C$124,IF(B49&gt;計算シート!$C$121,計算シート!$C$122,計算シート!$C$119))/12,(A47*12-9),$D$9*12,$E$11*10000)-ISPMT(IF(B49&gt;計算シート!$C$123,計算シート!$C$124,IF(B49&gt;計算シート!$C$121,計算シート!$C$122,計算シート!$C$119))/12,(A47*12-8),$D$9*12,$E$11*10000)-ISPMT(IF(B49&gt;計算シート!$C$123,計算シート!$C$124,IF(B49&gt;計算シート!$C$121,計算シート!$C$122,計算シート!$C$119))/12,(A47*12-7),$D$9*12,$E$11*10000)-ISPMT(IF(B49&gt;計算シート!$C$123,計算シート!$C$124,IF(B49&gt;計算シート!$C$121,計算シート!$C$122,計算シート!$C$119))/12,(A47*12-6),$D$9*12,$E$11*10000)-ISPMT(IF(B49&gt;計算シート!$C$123,計算シート!$C$124,IF(B49&gt;計算シート!$C$121,計算シート!$C$122,計算シート!$C$119))/12,(A47*12-5),$D$9*12,$E$11*10000)-ISPMT(IF(B49&gt;計算シート!$C$123,計算シート!$C$124,IF(B49&gt;計算シート!$C$121,計算シート!$C$122,計算シート!$C$119))/12,(A47*12-4),$D$9*12,$E$11*10000)-ISPMT(IF(B49&gt;計算シート!$C$123,計算シート!$C$124,IF(B49&gt;計算シート!$C$121,計算シート!$C$122,計算シート!$C$119))/12,(A47*12-3),$D$9*12,$E$11*10000)-ISPMT(IF(B49&gt;計算シート!$C$123,計算シート!$C$124,IF(B49&gt;計算シート!$C$121,計算シート!$C$122,計算シート!$C$119))/12,(A47*12-2),$D$9*12,$E$11*10000)-ISPMT(IF(B49&gt;計算シート!$C$123,計算シート!$C$124,IF(B49&gt;計算シート!$C$121,計算シート!$C$122,計算シート!$C$119))/12,(A47*12-1),$D$9*12,$E$11*10000),0))</f>
        <v/>
      </c>
      <c r="D47" s="53" t="str">
        <f t="shared" si="1"/>
        <v/>
      </c>
      <c r="E47" s="54" t="str">
        <f t="shared" si="4"/>
        <v/>
      </c>
      <c r="F47" s="35" t="str">
        <f>IF($E$12="","",IF(B47="","",ROUNDUP(-ISPMT(IF(B49&gt;計算シート!$C$123,計算シート!$C$124,IF(B49&gt;計算シート!$C$121,計算シート!$C$122,計算シート!$C$119))/2,(A47*2-2),$D$9*2,$E$12*10000)-ISPMT(IF(B49&gt;計算シート!$C$123,計算シート!$C$124,IF(B49&gt;計算シート!$C$121,計算シート!$C$122,計算シート!$C$119))/2,(A47*2-1),$D$9*2,$E$12*10000),0)))</f>
        <v/>
      </c>
      <c r="G47" s="53" t="str">
        <f t="shared" si="2"/>
        <v/>
      </c>
      <c r="H47" s="55" t="str">
        <f t="shared" si="5"/>
        <v/>
      </c>
      <c r="I47" s="56" t="str">
        <f t="shared" si="6"/>
        <v/>
      </c>
      <c r="J47" s="68"/>
      <c r="K47" s="68"/>
      <c r="L47" s="68"/>
      <c r="M47" s="68"/>
      <c r="N47" s="68"/>
      <c r="O47" s="68"/>
      <c r="P47" s="68"/>
    </row>
    <row r="48" spans="1:16" ht="17.25" customHeight="1">
      <c r="A48" s="31" t="str">
        <f t="shared" si="3"/>
        <v/>
      </c>
      <c r="B48" t="str">
        <f t="shared" si="0"/>
        <v/>
      </c>
      <c r="C48" s="39" t="str">
        <f>IF(B48="","",ROUNDUP(-ISPMT(IF(B50&gt;計算シート!$C$123,計算シート!$C$124,IF(B50&gt;計算シート!$C$121,計算シート!$C$122,計算シート!$C$119))/12,(A48*12-12),$D$9*12,$E$11*10000)-ISPMT(IF(B50&gt;計算シート!$C$123,計算シート!$C$124,IF(B50&gt;計算シート!$C$121,計算シート!$C$122,計算シート!$C$119))/12,(A48*12-11),$D$9*12,$E$11*10000)-ISPMT(IF(B50&gt;計算シート!$C$123,計算シート!$C$124,IF(B50&gt;計算シート!$C$121,計算シート!$C$122,計算シート!$C$119))/12,(A48*12-10),$D$9*12,$E$11*10000)-ISPMT(IF(B50&gt;計算シート!$C$123,計算シート!$C$124,IF(B50&gt;計算シート!$C$121,計算シート!$C$122,計算シート!$C$119))/12,(A48*12-9),$D$9*12,$E$11*10000)-ISPMT(IF(B50&gt;計算シート!$C$123,計算シート!$C$124,IF(B50&gt;計算シート!$C$121,計算シート!$C$122,計算シート!$C$119))/12,(A48*12-8),$D$9*12,$E$11*10000)-ISPMT(IF(B50&gt;計算シート!$C$123,計算シート!$C$124,IF(B50&gt;計算シート!$C$121,計算シート!$C$122,計算シート!$C$119))/12,(A48*12-7),$D$9*12,$E$11*10000)-ISPMT(IF(B50&gt;計算シート!$C$123,計算シート!$C$124,IF(B50&gt;計算シート!$C$121,計算シート!$C$122,計算シート!$C$119))/12,(A48*12-6),$D$9*12,$E$11*10000)-ISPMT(IF(B50&gt;計算シート!$C$123,計算シート!$C$124,IF(B50&gt;計算シート!$C$121,計算シート!$C$122,計算シート!$C$119))/12,(A48*12-5),$D$9*12,$E$11*10000)-ISPMT(IF(B50&gt;計算シート!$C$123,計算シート!$C$124,IF(B50&gt;計算シート!$C$121,計算シート!$C$122,計算シート!$C$119))/12,(A48*12-4),$D$9*12,$E$11*10000)-ISPMT(IF(B50&gt;計算シート!$C$123,計算シート!$C$124,IF(B50&gt;計算シート!$C$121,計算シート!$C$122,計算シート!$C$119))/12,(A48*12-3),$D$9*12,$E$11*10000)-ISPMT(IF(B50&gt;計算シート!$C$123,計算シート!$C$124,IF(B50&gt;計算シート!$C$121,計算シート!$C$122,計算シート!$C$119))/12,(A48*12-2),$D$9*12,$E$11*10000)-ISPMT(IF(B50&gt;計算シート!$C$123,計算シート!$C$124,IF(B50&gt;計算シート!$C$121,計算シート!$C$122,計算シート!$C$119))/12,(A48*12-1),$D$9*12,$E$11*10000),0))</f>
        <v/>
      </c>
      <c r="D48" s="57" t="str">
        <f t="shared" si="1"/>
        <v/>
      </c>
      <c r="E48" s="58" t="str">
        <f t="shared" si="4"/>
        <v/>
      </c>
      <c r="F48" s="291" t="str">
        <f>IF($E$12="","",IF(B48="","",ROUNDUP(-ISPMT(IF(B50&gt;計算シート!$C$123,計算シート!$C$124,IF(B50&gt;計算シート!$C$121,計算シート!$C$122,計算シート!$C$119))/2,(A48*2-2),$D$9*2,$E$12*10000)-ISPMT(IF(B50&gt;計算シート!$C$123,計算シート!$C$124,IF(B50&gt;計算シート!$C$121,計算シート!$C$122,計算シート!$C$119))/2,(A48*2-1),$D$9*2,$E$12*10000),0)))</f>
        <v/>
      </c>
      <c r="G48" s="57" t="str">
        <f t="shared" si="2"/>
        <v/>
      </c>
      <c r="H48" s="59" t="str">
        <f t="shared" si="5"/>
        <v/>
      </c>
      <c r="I48" s="606" t="str">
        <f t="shared" si="6"/>
        <v/>
      </c>
      <c r="J48" s="68"/>
      <c r="K48" s="68"/>
      <c r="L48" s="68"/>
      <c r="M48" s="68"/>
      <c r="N48" s="68"/>
      <c r="O48" s="68"/>
      <c r="P48" s="68"/>
    </row>
    <row r="49" spans="1:16" ht="17.25" customHeight="1">
      <c r="A49" s="31" t="str">
        <f t="shared" si="3"/>
        <v/>
      </c>
      <c r="B49" t="str">
        <f t="shared" si="0"/>
        <v/>
      </c>
      <c r="C49" s="236" t="str">
        <f>IF(B49="","",ROUNDUP(-ISPMT(IF(B51&gt;計算シート!$C$123,計算シート!$C$124,IF(B51&gt;計算シート!$C$121,計算シート!$C$122,計算シート!$C$119))/12,(A49*12-12),$D$9*12,$E$11*10000)-ISPMT(IF(B51&gt;計算シート!$C$123,計算シート!$C$124,IF(B51&gt;計算シート!$C$121,計算シート!$C$122,計算シート!$C$119))/12,(A49*12-11),$D$9*12,$E$11*10000)-ISPMT(IF(B51&gt;計算シート!$C$123,計算シート!$C$124,IF(B51&gt;計算シート!$C$121,計算シート!$C$122,計算シート!$C$119))/12,(A49*12-10),$D$9*12,$E$11*10000)-ISPMT(IF(B51&gt;計算シート!$C$123,計算シート!$C$124,IF(B51&gt;計算シート!$C$121,計算シート!$C$122,計算シート!$C$119))/12,(A49*12-9),$D$9*12,$E$11*10000)-ISPMT(IF(B51&gt;計算シート!$C$123,計算シート!$C$124,IF(B51&gt;計算シート!$C$121,計算シート!$C$122,計算シート!$C$119))/12,(A49*12-8),$D$9*12,$E$11*10000)-ISPMT(IF(B51&gt;計算シート!$C$123,計算シート!$C$124,IF(B51&gt;計算シート!$C$121,計算シート!$C$122,計算シート!$C$119))/12,(A49*12-7),$D$9*12,$E$11*10000)-ISPMT(IF(B51&gt;計算シート!$C$123,計算シート!$C$124,IF(B51&gt;計算シート!$C$121,計算シート!$C$122,計算シート!$C$119))/12,(A49*12-6),$D$9*12,$E$11*10000)-ISPMT(IF(B51&gt;計算シート!$C$123,計算シート!$C$124,IF(B51&gt;計算シート!$C$121,計算シート!$C$122,計算シート!$C$119))/12,(A49*12-5),$D$9*12,$E$11*10000)-ISPMT(IF(B51&gt;計算シート!$C$123,計算シート!$C$124,IF(B51&gt;計算シート!$C$121,計算シート!$C$122,計算シート!$C$119))/12,(A49*12-4),$D$9*12,$E$11*10000)-ISPMT(IF(B51&gt;計算シート!$C$123,計算シート!$C$124,IF(B51&gt;計算シート!$C$121,計算シート!$C$122,計算シート!$C$119))/12,(A49*12-3),$D$9*12,$E$11*10000)-ISPMT(IF(B51&gt;計算シート!$C$123,計算シート!$C$124,IF(B51&gt;計算シート!$C$121,計算シート!$C$122,計算シート!$C$119))/12,(A49*12-2),$D$9*12,$E$11*10000)-ISPMT(IF(B51&gt;計算シート!$C$123,計算シート!$C$124,IF(B51&gt;計算シート!$C$121,計算シート!$C$122,計算シート!$C$119))/12,(A49*12-1),$D$9*12,$E$11*10000),0))</f>
        <v/>
      </c>
      <c r="D49" s="60" t="str">
        <f t="shared" si="1"/>
        <v/>
      </c>
      <c r="E49" s="61" t="str">
        <f t="shared" si="4"/>
        <v/>
      </c>
      <c r="F49" s="44" t="str">
        <f>IF($E$12="","",IF(B49="","",ROUNDUP(-ISPMT(IF(B51&gt;計算シート!$C$123,計算シート!$C$124,IF(B51&gt;計算シート!$C$121,計算シート!$C$122,計算シート!$C$119))/2,(A49*2-2),$D$9*2,$E$12*10000)-ISPMT(IF(B51&gt;計算シート!$C$123,計算シート!$C$124,IF(B51&gt;計算シート!$C$121,計算シート!$C$122,計算シート!$C$119))/2,(A49*2-1),$D$9*2,$E$12*10000),0)))</f>
        <v/>
      </c>
      <c r="G49" s="60" t="str">
        <f t="shared" si="2"/>
        <v/>
      </c>
      <c r="H49" s="62" t="str">
        <f t="shared" si="5"/>
        <v/>
      </c>
      <c r="I49" s="63" t="str">
        <f t="shared" si="6"/>
        <v/>
      </c>
      <c r="J49" s="68"/>
      <c r="K49" s="68"/>
      <c r="L49" s="68"/>
      <c r="M49" s="68"/>
      <c r="N49" s="68"/>
      <c r="O49" s="68"/>
      <c r="P49" s="68"/>
    </row>
    <row r="50" spans="1:16" ht="17.25" customHeight="1">
      <c r="A50" s="31" t="str">
        <f t="shared" si="3"/>
        <v/>
      </c>
      <c r="B50" t="str">
        <f t="shared" si="0"/>
        <v/>
      </c>
      <c r="C50" s="32" t="str">
        <f>IF(B50="","",ROUNDUP(-ISPMT(IF(B52&gt;計算シート!$C$123,計算シート!$C$124,IF(B52&gt;計算シート!$C$121,計算シート!$C$122,計算シート!$C$119))/12,(A50*12-12),$D$9*12,$E$11*10000)-ISPMT(IF(B52&gt;計算シート!$C$123,計算シート!$C$124,IF(B52&gt;計算シート!$C$121,計算シート!$C$122,計算シート!$C$119))/12,(A50*12-11),$D$9*12,$E$11*10000)-ISPMT(IF(B52&gt;計算シート!$C$123,計算シート!$C$124,IF(B52&gt;計算シート!$C$121,計算シート!$C$122,計算シート!$C$119))/12,(A50*12-10),$D$9*12,$E$11*10000)-ISPMT(IF(B52&gt;計算シート!$C$123,計算シート!$C$124,IF(B52&gt;計算シート!$C$121,計算シート!$C$122,計算シート!$C$119))/12,(A50*12-9),$D$9*12,$E$11*10000)-ISPMT(IF(B52&gt;計算シート!$C$123,計算シート!$C$124,IF(B52&gt;計算シート!$C$121,計算シート!$C$122,計算シート!$C$119))/12,(A50*12-8),$D$9*12,$E$11*10000)-ISPMT(IF(B52&gt;計算シート!$C$123,計算シート!$C$124,IF(B52&gt;計算シート!$C$121,計算シート!$C$122,計算シート!$C$119))/12,(A50*12-7),$D$9*12,$E$11*10000)-ISPMT(IF(B52&gt;計算シート!$C$123,計算シート!$C$124,IF(B52&gt;計算シート!$C$121,計算シート!$C$122,計算シート!$C$119))/12,(A50*12-6),$D$9*12,$E$11*10000)-ISPMT(IF(B52&gt;計算シート!$C$123,計算シート!$C$124,IF(B52&gt;計算シート!$C$121,計算シート!$C$122,計算シート!$C$119))/12,(A50*12-5),$D$9*12,$E$11*10000)-ISPMT(IF(B52&gt;計算シート!$C$123,計算シート!$C$124,IF(B52&gt;計算シート!$C$121,計算シート!$C$122,計算シート!$C$119))/12,(A50*12-4),$D$9*12,$E$11*10000)-ISPMT(IF(B52&gt;計算シート!$C$123,計算シート!$C$124,IF(B52&gt;計算シート!$C$121,計算シート!$C$122,計算シート!$C$119))/12,(A50*12-3),$D$9*12,$E$11*10000)-ISPMT(IF(B52&gt;計算シート!$C$123,計算シート!$C$124,IF(B52&gt;計算シート!$C$121,計算シート!$C$122,計算シート!$C$119))/12,(A50*12-2),$D$9*12,$E$11*10000)-ISPMT(IF(B52&gt;計算シート!$C$123,計算シート!$C$124,IF(B52&gt;計算シート!$C$121,計算シート!$C$122,計算シート!$C$119))/12,(A50*12-1),$D$9*12,$E$11*10000),0))</f>
        <v/>
      </c>
      <c r="D50" s="53" t="str">
        <f t="shared" si="1"/>
        <v/>
      </c>
      <c r="E50" s="54" t="str">
        <f t="shared" si="4"/>
        <v/>
      </c>
      <c r="F50" s="35" t="str">
        <f>IF($E$12="","",IF(B50="","",ROUNDUP(-ISPMT(IF(B52&gt;計算シート!$C$123,計算シート!$C$124,IF(B52&gt;計算シート!$C$121,計算シート!$C$122,計算シート!$C$119))/2,(A50*2-2),$D$9*2,$E$12*10000)-ISPMT(IF(B52&gt;計算シート!$C$123,計算シート!$C$124,IF(B52&gt;計算シート!$C$121,計算シート!$C$122,計算シート!$C$119))/2,(A50*2-1),$D$9*2,$E$12*10000),0)))</f>
        <v/>
      </c>
      <c r="G50" s="53" t="str">
        <f t="shared" si="2"/>
        <v/>
      </c>
      <c r="H50" s="55" t="str">
        <f t="shared" si="5"/>
        <v/>
      </c>
      <c r="I50" s="56" t="str">
        <f t="shared" si="6"/>
        <v/>
      </c>
      <c r="J50" s="68"/>
      <c r="K50" s="68"/>
      <c r="L50" s="68"/>
      <c r="M50" s="68"/>
      <c r="N50" s="68"/>
      <c r="O50" s="68"/>
      <c r="P50" s="68"/>
    </row>
    <row r="51" spans="1:16" ht="17.25" customHeight="1">
      <c r="A51" s="31" t="str">
        <f t="shared" si="3"/>
        <v/>
      </c>
      <c r="B51" t="str">
        <f t="shared" si="0"/>
        <v/>
      </c>
      <c r="C51" s="32" t="str">
        <f>IF(B51="","",ROUNDUP(-ISPMT(IF(B53&gt;計算シート!$C$123,計算シート!$C$124,IF(B53&gt;計算シート!$C$121,計算シート!$C$122,計算シート!$C$119))/12,(A51*12-12),$D$9*12,$E$11*10000)-ISPMT(IF(B53&gt;計算シート!$C$123,計算シート!$C$124,IF(B53&gt;計算シート!$C$121,計算シート!$C$122,計算シート!$C$119))/12,(A51*12-11),$D$9*12,$E$11*10000)-ISPMT(IF(B53&gt;計算シート!$C$123,計算シート!$C$124,IF(B53&gt;計算シート!$C$121,計算シート!$C$122,計算シート!$C$119))/12,(A51*12-10),$D$9*12,$E$11*10000)-ISPMT(IF(B53&gt;計算シート!$C$123,計算シート!$C$124,IF(B53&gt;計算シート!$C$121,計算シート!$C$122,計算シート!$C$119))/12,(A51*12-9),$D$9*12,$E$11*10000)-ISPMT(IF(B53&gt;計算シート!$C$123,計算シート!$C$124,IF(B53&gt;計算シート!$C$121,計算シート!$C$122,計算シート!$C$119))/12,(A51*12-8),$D$9*12,$E$11*10000)-ISPMT(IF(B53&gt;計算シート!$C$123,計算シート!$C$124,IF(B53&gt;計算シート!$C$121,計算シート!$C$122,計算シート!$C$119))/12,(A51*12-7),$D$9*12,$E$11*10000)-ISPMT(IF(B53&gt;計算シート!$C$123,計算シート!$C$124,IF(B53&gt;計算シート!$C$121,計算シート!$C$122,計算シート!$C$119))/12,(A51*12-6),$D$9*12,$E$11*10000)-ISPMT(IF(B53&gt;計算シート!$C$123,計算シート!$C$124,IF(B53&gt;計算シート!$C$121,計算シート!$C$122,計算シート!$C$119))/12,(A51*12-5),$D$9*12,$E$11*10000)-ISPMT(IF(B53&gt;計算シート!$C$123,計算シート!$C$124,IF(B53&gt;計算シート!$C$121,計算シート!$C$122,計算シート!$C$119))/12,(A51*12-4),$D$9*12,$E$11*10000)-ISPMT(IF(B53&gt;計算シート!$C$123,計算シート!$C$124,IF(B53&gt;計算シート!$C$121,計算シート!$C$122,計算シート!$C$119))/12,(A51*12-3),$D$9*12,$E$11*10000)-ISPMT(IF(B53&gt;計算シート!$C$123,計算シート!$C$124,IF(B53&gt;計算シート!$C$121,計算シート!$C$122,計算シート!$C$119))/12,(A51*12-2),$D$9*12,$E$11*10000)-ISPMT(IF(B53&gt;計算シート!$C$123,計算シート!$C$124,IF(B53&gt;計算シート!$C$121,計算シート!$C$122,計算シート!$C$119))/12,(A51*12-1),$D$9*12,$E$11*10000),0))</f>
        <v/>
      </c>
      <c r="D51" s="53" t="str">
        <f t="shared" si="1"/>
        <v/>
      </c>
      <c r="E51" s="54" t="str">
        <f t="shared" si="4"/>
        <v/>
      </c>
      <c r="F51" s="35" t="str">
        <f>IF($E$12="","",IF(B51="","",ROUNDUP(-ISPMT(IF(B53&gt;計算シート!$C$123,計算シート!$C$124,IF(B53&gt;計算シート!$C$121,計算シート!$C$122,計算シート!$C$119))/2,(A51*2-2),$D$9*2,$E$12*10000)-ISPMT(IF(B53&gt;計算シート!$C$123,計算シート!$C$124,IF(B53&gt;計算シート!$C$121,計算シート!$C$122,計算シート!$C$119))/2,(A51*2-1),$D$9*2,$E$12*10000),0)))</f>
        <v/>
      </c>
      <c r="G51" s="53" t="str">
        <f t="shared" si="2"/>
        <v/>
      </c>
      <c r="H51" s="55" t="str">
        <f t="shared" si="5"/>
        <v/>
      </c>
      <c r="I51" s="56" t="str">
        <f t="shared" si="6"/>
        <v/>
      </c>
      <c r="J51" s="68"/>
      <c r="K51" s="68"/>
      <c r="L51" s="68"/>
      <c r="M51" s="68"/>
      <c r="N51" s="68"/>
      <c r="O51" s="68"/>
      <c r="P51" s="68"/>
    </row>
    <row r="52" spans="1:16" ht="17.25" customHeight="1">
      <c r="A52" s="31" t="str">
        <f t="shared" si="3"/>
        <v/>
      </c>
      <c r="B52" t="str">
        <f t="shared" si="0"/>
        <v/>
      </c>
      <c r="C52" s="32" t="str">
        <f>IF(B52="","",ROUNDUP(-ISPMT(IF(B54&gt;計算シート!$C$123,計算シート!$C$124,IF(B54&gt;計算シート!$C$121,計算シート!$C$122,計算シート!$C$119))/12,(A52*12-12),$D$9*12,$E$11*10000)-ISPMT(IF(B54&gt;計算シート!$C$123,計算シート!$C$124,IF(B54&gt;計算シート!$C$121,計算シート!$C$122,計算シート!$C$119))/12,(A52*12-11),$D$9*12,$E$11*10000)-ISPMT(IF(B54&gt;計算シート!$C$123,計算シート!$C$124,IF(B54&gt;計算シート!$C$121,計算シート!$C$122,計算シート!$C$119))/12,(A52*12-10),$D$9*12,$E$11*10000)-ISPMT(IF(B54&gt;計算シート!$C$123,計算シート!$C$124,IF(B54&gt;計算シート!$C$121,計算シート!$C$122,計算シート!$C$119))/12,(A52*12-9),$D$9*12,$E$11*10000)-ISPMT(IF(B54&gt;計算シート!$C$123,計算シート!$C$124,IF(B54&gt;計算シート!$C$121,計算シート!$C$122,計算シート!$C$119))/12,(A52*12-8),$D$9*12,$E$11*10000)-ISPMT(IF(B54&gt;計算シート!$C$123,計算シート!$C$124,IF(B54&gt;計算シート!$C$121,計算シート!$C$122,計算シート!$C$119))/12,(A52*12-7),$D$9*12,$E$11*10000)-ISPMT(IF(B54&gt;計算シート!$C$123,計算シート!$C$124,IF(B54&gt;計算シート!$C$121,計算シート!$C$122,計算シート!$C$119))/12,(A52*12-6),$D$9*12,$E$11*10000)-ISPMT(IF(B54&gt;計算シート!$C$123,計算シート!$C$124,IF(B54&gt;計算シート!$C$121,計算シート!$C$122,計算シート!$C$119))/12,(A52*12-5),$D$9*12,$E$11*10000)-ISPMT(IF(B54&gt;計算シート!$C$123,計算シート!$C$124,IF(B54&gt;計算シート!$C$121,計算シート!$C$122,計算シート!$C$119))/12,(A52*12-4),$D$9*12,$E$11*10000)-ISPMT(IF(B54&gt;計算シート!$C$123,計算シート!$C$124,IF(B54&gt;計算シート!$C$121,計算シート!$C$122,計算シート!$C$119))/12,(A52*12-3),$D$9*12,$E$11*10000)-ISPMT(IF(B54&gt;計算シート!$C$123,計算シート!$C$124,IF(B54&gt;計算シート!$C$121,計算シート!$C$122,計算シート!$C$119))/12,(A52*12-2),$D$9*12,$E$11*10000)-ISPMT(IF(B54&gt;計算シート!$C$123,計算シート!$C$124,IF(B54&gt;計算シート!$C$121,計算シート!$C$122,計算シート!$C$119))/12,(A52*12-1),$D$9*12,$E$11*10000),0))</f>
        <v/>
      </c>
      <c r="D52" s="53" t="str">
        <f t="shared" si="1"/>
        <v/>
      </c>
      <c r="E52" s="54" t="str">
        <f t="shared" si="4"/>
        <v/>
      </c>
      <c r="F52" s="35" t="str">
        <f>IF($E$12="","",IF(B52="","",ROUNDUP(-ISPMT(IF(B54&gt;計算シート!$C$123,計算シート!$C$124,IF(B54&gt;計算シート!$C$121,計算シート!$C$122,計算シート!$C$119))/2,(A52*2-2),$D$9*2,$E$12*10000)-ISPMT(IF(B54&gt;計算シート!$C$123,計算シート!$C$124,IF(B54&gt;計算シート!$C$121,計算シート!$C$122,計算シート!$C$119))/2,(A52*2-1),$D$9*2,$E$12*10000),0)))</f>
        <v/>
      </c>
      <c r="G52" s="53" t="str">
        <f t="shared" si="2"/>
        <v/>
      </c>
      <c r="H52" s="55" t="str">
        <f t="shared" si="5"/>
        <v/>
      </c>
      <c r="I52" s="56" t="str">
        <f t="shared" si="6"/>
        <v/>
      </c>
      <c r="J52" s="68"/>
      <c r="K52" s="68"/>
      <c r="L52" s="68"/>
      <c r="M52" s="68"/>
      <c r="N52" s="68"/>
      <c r="O52" s="68"/>
      <c r="P52" s="68"/>
    </row>
    <row r="53" spans="1:16" ht="17.25" customHeight="1" thickBot="1">
      <c r="A53" s="31" t="str">
        <f t="shared" si="3"/>
        <v/>
      </c>
      <c r="B53" t="str">
        <f t="shared" si="0"/>
        <v/>
      </c>
      <c r="C53" s="107" t="str">
        <f>IF(B53="","",ROUNDUP(-ISPMT(IF(B55&gt;計算シート!$C$123,計算シート!$C$124,IF(B55&gt;計算シート!$C$121,計算シート!$C$122,計算シート!$C$119))/12,(A53*12-12),$D$9*12,$E$11*10000)-ISPMT(IF(B55&gt;計算シート!$C$123,計算シート!$C$124,IF(B55&gt;計算シート!$C$121,計算シート!$C$122,計算シート!$C$119))/12,(A53*12-11),$D$9*12,$E$11*10000)-ISPMT(IF(B55&gt;計算シート!$C$123,計算シート!$C$124,IF(B55&gt;計算シート!$C$121,計算シート!$C$122,計算シート!$C$119))/12,(A53*12-10),$D$9*12,$E$11*10000)-ISPMT(IF(B55&gt;計算シート!$C$123,計算シート!$C$124,IF(B55&gt;計算シート!$C$121,計算シート!$C$122,計算シート!$C$119))/12,(A53*12-9),$D$9*12,$E$11*10000)-ISPMT(IF(B55&gt;計算シート!$C$123,計算シート!$C$124,IF(B55&gt;計算シート!$C$121,計算シート!$C$122,計算シート!$C$119))/12,(A53*12-8),$D$9*12,$E$11*10000)-ISPMT(IF(B55&gt;計算シート!$C$123,計算シート!$C$124,IF(B55&gt;計算シート!$C$121,計算シート!$C$122,計算シート!$C$119))/12,(A53*12-7),$D$9*12,$E$11*10000)-ISPMT(IF(B55&gt;計算シート!$C$123,計算シート!$C$124,IF(B55&gt;計算シート!$C$121,計算シート!$C$122,計算シート!$C$119))/12,(A53*12-6),$D$9*12,$E$11*10000)-ISPMT(IF(B55&gt;計算シート!$C$123,計算シート!$C$124,IF(B55&gt;計算シート!$C$121,計算シート!$C$122,計算シート!$C$119))/12,(A53*12-5),$D$9*12,$E$11*10000)-ISPMT(IF(B55&gt;計算シート!$C$123,計算シート!$C$124,IF(B55&gt;計算シート!$C$121,計算シート!$C$122,計算シート!$C$119))/12,(A53*12-4),$D$9*12,$E$11*10000)-ISPMT(IF(B55&gt;計算シート!$C$123,計算シート!$C$124,IF(B55&gt;計算シート!$C$121,計算シート!$C$122,計算シート!$C$119))/12,(A53*12-3),$D$9*12,$E$11*10000)-ISPMT(IF(B55&gt;計算シート!$C$123,計算シート!$C$124,IF(B55&gt;計算シート!$C$121,計算シート!$C$122,計算シート!$C$119))/12,(A53*12-2),$D$9*12,$E$11*10000)-ISPMT(IF(B55&gt;計算シート!$C$123,計算シート!$C$124,IF(B55&gt;計算シート!$C$121,計算シート!$C$122,計算シート!$C$119))/12,(A53*12-1),$D$9*12,$E$11*10000),0))</f>
        <v/>
      </c>
      <c r="D53" s="64" t="str">
        <f t="shared" si="1"/>
        <v/>
      </c>
      <c r="E53" s="65" t="str">
        <f t="shared" si="4"/>
        <v/>
      </c>
      <c r="F53" s="48" t="str">
        <f>IF($E$12="","",IF(B53="","",ROUNDUP(-ISPMT(IF(B55&gt;計算シート!$C$123,計算シート!$C$124,IF(B55&gt;計算シート!$C$121,計算シート!$C$122,計算シート!$C$119))/2,(A53*2-2),$D$9*2,$E$12*10000)-ISPMT(IF(B55&gt;計算シート!$C$123,計算シート!$C$124,IF(B55&gt;計算シート!$C$121,計算シート!$C$122,計算シート!$C$119))/2,(A53*2-1),$D$9*2,$E$12*10000),0)))</f>
        <v/>
      </c>
      <c r="G53" s="64" t="str">
        <f t="shared" si="2"/>
        <v/>
      </c>
      <c r="H53" s="66" t="str">
        <f t="shared" si="5"/>
        <v/>
      </c>
      <c r="I53" s="67" t="str">
        <f t="shared" si="6"/>
        <v/>
      </c>
      <c r="J53" s="243"/>
      <c r="K53" s="68"/>
      <c r="L53" s="68"/>
      <c r="M53" s="68"/>
      <c r="N53" s="68"/>
      <c r="O53" s="68"/>
      <c r="P53" s="68"/>
    </row>
    <row r="54" spans="1:16" ht="17.25" customHeight="1">
      <c r="C54" s="68"/>
    </row>
  </sheetData>
  <sheetProtection algorithmName="SHA-512" hashValue="bbfQMqLprY7+K2wmIH2Hl/Z0a45IwrSOzhXW/QUE5MDaw9YKS3Xoefnw9Fn+vyO+/cWCUQ1mv6EqZ5l/xK/fyA==" saltValue="3+vgqsYw8MDUMwiZk2c/kA==" spinCount="100000" sheet="1" selectLockedCells="1"/>
  <mergeCells count="17">
    <mergeCell ref="C16:I16"/>
    <mergeCell ref="C17:E17"/>
    <mergeCell ref="F17:H17"/>
    <mergeCell ref="C12:D12"/>
    <mergeCell ref="C11:D11"/>
    <mergeCell ref="I7:I12"/>
    <mergeCell ref="C14:I15"/>
    <mergeCell ref="A5:C5"/>
    <mergeCell ref="E5:F5"/>
    <mergeCell ref="F8:H8"/>
    <mergeCell ref="F10:H10"/>
    <mergeCell ref="D2:E2"/>
    <mergeCell ref="F2:G2"/>
    <mergeCell ref="H2:I2"/>
    <mergeCell ref="D3:E3"/>
    <mergeCell ref="F3:G3"/>
    <mergeCell ref="H3:I3"/>
  </mergeCells>
  <phoneticPr fontId="8"/>
  <conditionalFormatting sqref="D2:E2">
    <cfRule type="cellIs" dxfId="19" priority="5" operator="notEqual">
      <formula>0</formula>
    </cfRule>
  </conditionalFormatting>
  <conditionalFormatting sqref="D3:E3">
    <cfRule type="cellIs" dxfId="18" priority="4" operator="notEqual">
      <formula>0</formula>
    </cfRule>
  </conditionalFormatting>
  <conditionalFormatting sqref="F2:G2">
    <cfRule type="cellIs" dxfId="17" priority="3" operator="notEqual">
      <formula>0</formula>
    </cfRule>
  </conditionalFormatting>
  <conditionalFormatting sqref="F3:G3">
    <cfRule type="cellIs" dxfId="16" priority="2" operator="notEqual">
      <formula>0</formula>
    </cfRule>
  </conditionalFormatting>
  <conditionalFormatting sqref="H2:I2">
    <cfRule type="cellIs" dxfId="15" priority="1" operator="notEqual">
      <formula>0</formula>
    </cfRule>
  </conditionalFormatting>
  <hyperlinks>
    <hyperlink ref="D2:E2" location="フラット３５元利均等償還表!A1" display="フラット３５元利均等償還表!A1" xr:uid="{00000000-0004-0000-0800-000000000000}"/>
    <hyperlink ref="D3:E3" location="フラット３５元金均等償還表!A1" display="フラット３５元金均等償還表!A1" xr:uid="{00000000-0004-0000-0800-000001000000}"/>
    <hyperlink ref="F2:G2" location="ベストミックス償還表!A1" display="ベストミックス償還表!A1" xr:uid="{00000000-0004-0000-0800-000002000000}"/>
    <hyperlink ref="F3:G3" location="アプラス償還表!A1" display="アプラス償還表!A1" xr:uid="{00000000-0004-0000-0800-000003000000}"/>
    <hyperlink ref="H2:I2" location="アプラスワイド償還表!A1" display="アプラスワイド償還表!A1" xr:uid="{00000000-0004-0000-0800-000004000000}"/>
  </hyperlinks>
  <printOptions horizontalCentered="1" verticalCentered="1"/>
  <pageMargins left="0.31496062992125984" right="0.31496062992125984" top="0.35433070866141736"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入力シート</vt:lpstr>
      <vt:lpstr>計算シート</vt:lpstr>
      <vt:lpstr>ポイントメニュー</vt:lpstr>
      <vt:lpstr>印刷ページ</vt:lpstr>
      <vt:lpstr>資金計画</vt:lpstr>
      <vt:lpstr>フラット３５元利均等償還表</vt:lpstr>
      <vt:lpstr>フラット３５元金均等償還表</vt:lpstr>
      <vt:lpstr>ベストミックス償還表</vt:lpstr>
      <vt:lpstr>アプラス償還表</vt:lpstr>
      <vt:lpstr>アプラスワイド償還表</vt:lpstr>
      <vt:lpstr>アプラスワイド償還表!Print_Area</vt:lpstr>
      <vt:lpstr>アプラス償還表!Print_Area</vt:lpstr>
      <vt:lpstr>フラット３５元金均等償還表!Print_Area</vt:lpstr>
      <vt:lpstr>フラット３５元利均等償還表!Print_Area</vt:lpstr>
      <vt:lpstr>ベストミックス償還表!Print_Area</vt:lpstr>
      <vt:lpstr>印刷ページ!Print_Area</vt:lpstr>
      <vt:lpstr>資金計画!Print_Area</vt:lpstr>
      <vt:lpstr>入力シート!Print_Area</vt:lpstr>
    </vt:vector>
  </TitlesOfParts>
  <Manager/>
  <Company>日本モーゲージサービス</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安倍伸一</dc:creator>
  <cp:keywords/>
  <dc:description/>
  <cp:lastModifiedBy>篠崎 竜哉</cp:lastModifiedBy>
  <cp:revision/>
  <dcterms:created xsi:type="dcterms:W3CDTF">2006-09-11T08:42:32Z</dcterms:created>
  <dcterms:modified xsi:type="dcterms:W3CDTF">2025-04-25T10:57:59Z</dcterms:modified>
  <cp:category/>
  <cp:contentStatus/>
</cp:coreProperties>
</file>